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iyichen/Desktop/"/>
    </mc:Choice>
  </mc:AlternateContent>
  <xr:revisionPtr revIDLastSave="0" documentId="8_{9E4FF98E-DAB9-384D-BE33-8188ABEF72C5}" xr6:coauthVersionLast="36" xr6:coauthVersionMax="36" xr10:uidLastSave="{00000000-0000-0000-0000-000000000000}"/>
  <bookViews>
    <workbookView xWindow="0" yWindow="460" windowWidth="28800" windowHeight="16280" xr2:uid="{00000000-000D-0000-FFFF-FFFF00000000}"/>
  </bookViews>
  <sheets>
    <sheet name="General Retail" sheetId="1" r:id="rId1"/>
    <sheet name="Chinese Cymbidiums Retail" sheetId="2" r:id="rId2"/>
    <sheet name="Flasks Retail" sheetId="3" r:id="rId3"/>
  </sheets>
  <calcPr calcId="162913"/>
</workbook>
</file>

<file path=xl/calcChain.xml><?xml version="1.0" encoding="utf-8"?>
<calcChain xmlns="http://schemas.openxmlformats.org/spreadsheetml/2006/main">
  <c r="A37" i="3" l="1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157" i="2"/>
  <c r="A156" i="2"/>
  <c r="A154" i="2"/>
  <c r="A153" i="2"/>
  <c r="A152" i="2"/>
  <c r="A151" i="2"/>
  <c r="A150" i="2"/>
  <c r="A149" i="2"/>
  <c r="A147" i="2"/>
  <c r="A146" i="2"/>
  <c r="A145" i="2"/>
  <c r="A144" i="2"/>
  <c r="A143" i="2"/>
  <c r="A142" i="2"/>
  <c r="A140" i="2"/>
  <c r="A139" i="2"/>
  <c r="A138" i="2"/>
  <c r="A137" i="2"/>
  <c r="A135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8" i="2"/>
  <c r="A117" i="2"/>
  <c r="A116" i="2"/>
  <c r="A115" i="2"/>
  <c r="A111" i="2"/>
  <c r="A110" i="2"/>
  <c r="A109" i="2"/>
  <c r="A108" i="2"/>
  <c r="A106" i="2"/>
  <c r="A105" i="2"/>
  <c r="A103" i="2"/>
  <c r="A102" i="2"/>
  <c r="A101" i="2"/>
  <c r="A100" i="2"/>
  <c r="A99" i="2"/>
  <c r="A98" i="2"/>
  <c r="A97" i="2"/>
  <c r="A95" i="2"/>
  <c r="A94" i="2"/>
  <c r="A93" i="2"/>
  <c r="A92" i="2"/>
  <c r="A91" i="2"/>
  <c r="A90" i="2"/>
  <c r="A89" i="2"/>
  <c r="A88" i="2"/>
  <c r="A87" i="2"/>
  <c r="A86" i="2"/>
  <c r="A85" i="2"/>
  <c r="A83" i="2"/>
  <c r="A82" i="2"/>
  <c r="A81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</calcChain>
</file>

<file path=xl/sharedStrings.xml><?xml version="1.0" encoding="utf-8"?>
<sst xmlns="http://schemas.openxmlformats.org/spreadsheetml/2006/main" count="851" uniqueCount="130">
  <si>
    <t>TEN SHIN GARDENS CO. LTD.</t>
  </si>
  <si>
    <t>```````````````</t>
  </si>
  <si>
    <t>101-1 Shangguan Li, Yuanli Township, Miaoli County, Taiwan.</t>
  </si>
  <si>
    <t>Tel &amp; Fax (Taiwan): +886 37 741465; Tel (Mobile): +886 910157470</t>
  </si>
  <si>
    <t>website: www.tenshinorchids.com Email: info@tenshinorchids.com</t>
  </si>
  <si>
    <t>Price List Retail</t>
  </si>
  <si>
    <t>(Chinese Cymbidium &amp; Flask List is on the next sheet)</t>
  </si>
  <si>
    <t>Chinese Cymbidiums Price List Retail</t>
  </si>
  <si>
    <t>Flasks Price List Retail</t>
  </si>
  <si>
    <t>(there are 20 plants per flask, unless indicated)</t>
  </si>
  <si>
    <t>(there are 3 bulbs / growth per plant)</t>
  </si>
  <si>
    <t>Flasks Name</t>
  </si>
  <si>
    <t>Cultivar Name</t>
  </si>
  <si>
    <t>Price</t>
  </si>
  <si>
    <t>Size</t>
  </si>
  <si>
    <t>Species List</t>
  </si>
  <si>
    <t>Retail $</t>
  </si>
  <si>
    <t>Retail Price</t>
  </si>
  <si>
    <t>b.s.</t>
  </si>
  <si>
    <t>b.s. - the price is for 3 bulbs / growths</t>
  </si>
  <si>
    <t>b.s</t>
  </si>
  <si>
    <t>Cymbidium ensifolium Piao Yi 漂逸</t>
  </si>
  <si>
    <t>Cymbidium goeringii Tian Li Mei 天麗梅</t>
  </si>
  <si>
    <t>Cymbidium goeringii var. longibracteatum Bi Yu Xuan Yue 碧玉玹月</t>
  </si>
  <si>
    <t>Cymbidium goeringii Wu Fu Lin Men 五福臨門</t>
  </si>
  <si>
    <t>Cymbidium kanran Da Long Tou 大龍頭</t>
  </si>
  <si>
    <t>Cymbidium kanran Hang Zhou Han Lan 杭州寒蘭</t>
  </si>
  <si>
    <t>Cymbidium kanran Tian Li Mei 天麗梅</t>
  </si>
  <si>
    <t>Cymbidium kanran Tian Yi Mei 天衣梅</t>
  </si>
  <si>
    <t>Cymbidium kanran Xian Die 仙蝶</t>
  </si>
  <si>
    <t>n.b.s.</t>
  </si>
  <si>
    <t>Cymbidium sinense Chuan Qi Da Xun 川崎大勳</t>
  </si>
  <si>
    <t>Cymbidium sinense Jin Fu Gui 金富貴</t>
  </si>
  <si>
    <t>Cymbidium sinense Lei She 雷射</t>
  </si>
  <si>
    <t>Cymbidium sinense Shan Chuan 山川</t>
  </si>
  <si>
    <t>Cymbidium sinense Tang Shan Hu 唐山虎</t>
  </si>
  <si>
    <t>Cymbidium sinense Xiao Shan Da Xun 小山大勳</t>
  </si>
  <si>
    <t>Cymbidium ensifolium, goeringii, kanran, sinense - please go to next sheet</t>
  </si>
  <si>
    <t>2.5" pot</t>
  </si>
  <si>
    <t>Hybrid List</t>
  </si>
  <si>
    <t>Novelty Phalaenopsis List</t>
  </si>
  <si>
    <t>n.b.s</t>
  </si>
  <si>
    <t>New Species List - updated Dec 2018</t>
  </si>
  <si>
    <t>Aerides falcata f. alba</t>
  </si>
  <si>
    <t>Aerides leeana</t>
  </si>
  <si>
    <t>Arachnis flos-aeris</t>
  </si>
  <si>
    <t>Brassavola cucullata</t>
  </si>
  <si>
    <t>Brassavola nodosa 'Susan Fuchs' FCC/AOS</t>
  </si>
  <si>
    <t>Brassavola nodosa ’Panama’ AM/AOS</t>
  </si>
  <si>
    <t>Brassavola perrinii</t>
  </si>
  <si>
    <t>Bulbophyllum annandalei</t>
  </si>
  <si>
    <t>Bulbophyllum biflorum</t>
  </si>
  <si>
    <t>Bulbophyllum cominsii</t>
  </si>
  <si>
    <t>Bulbophyllum facetum</t>
  </si>
  <si>
    <t>Bulbophyllum graveolens</t>
  </si>
  <si>
    <t>Bulbophyllum macranthoides</t>
  </si>
  <si>
    <t>Bulbophyllum ruffinum</t>
  </si>
  <si>
    <t>Bulbophyllum sanguineopunctatum</t>
  </si>
  <si>
    <t>Bulbophyllum sumatranum</t>
  </si>
  <si>
    <t>Cattleya intermedia aquinii orlata f. coerulea</t>
  </si>
  <si>
    <t>Cattleya lueddemanniana f. coerulea</t>
  </si>
  <si>
    <t>Cattleya nobilior f. alba</t>
  </si>
  <si>
    <t>Chysis bractescens</t>
  </si>
  <si>
    <t>Coelogyne viscosa</t>
  </si>
  <si>
    <t>Coryanthes bruchmuelleri</t>
  </si>
  <si>
    <t>Cymbidium atropurpureum</t>
  </si>
  <si>
    <t>Cymbidium chloranthum</t>
  </si>
  <si>
    <t>Dendrobium anosmum f. alba</t>
  </si>
  <si>
    <t>Dendrobium anosmum f. coerulea</t>
  </si>
  <si>
    <t>Dendrobium antennatum</t>
  </si>
  <si>
    <t>Dendrobium crumenatum</t>
  </si>
  <si>
    <t>Dendrobium linguella</t>
  </si>
  <si>
    <t>Dendrobium parishiii peloric form, six eyes</t>
  </si>
  <si>
    <t>Dendrobium pulchellum</t>
  </si>
  <si>
    <t>Dendrobium secundum</t>
  </si>
  <si>
    <t>Dendrobium x usitae</t>
  </si>
  <si>
    <t>Dendrobium ypsilon</t>
  </si>
  <si>
    <t>Dendrochilum bicallosum</t>
  </si>
  <si>
    <t>Dendrochilum wenzelii, green form</t>
  </si>
  <si>
    <t>Dendrochilum wenzelii, red form</t>
  </si>
  <si>
    <t>Epidendrum ciliare</t>
  </si>
  <si>
    <t>Epidendrum rigidum</t>
  </si>
  <si>
    <t>Epidendrum stamfordianum var alba</t>
  </si>
  <si>
    <t>Epidendrum viviparum</t>
  </si>
  <si>
    <t>Eria ornata</t>
  </si>
  <si>
    <t>Eria rosea</t>
  </si>
  <si>
    <t>Galeandra leptoceras</t>
  </si>
  <si>
    <t>Gastrochilus japonicus</t>
  </si>
  <si>
    <t>Guarianthe skinneri f. coerulea</t>
  </si>
  <si>
    <t>Laelia anceps</t>
  </si>
  <si>
    <t xml:space="preserve">Laelia dayana / C. bicalhoi f. coerulea </t>
  </si>
  <si>
    <t>Neobenthamia gracilis</t>
  </si>
  <si>
    <t>Papilionanthe taiwaniana</t>
  </si>
  <si>
    <t>Paraphalaenopsis serpentilingua</t>
  </si>
  <si>
    <t>Pelatantheria rivesii</t>
  </si>
  <si>
    <t>Peristeria elata</t>
  </si>
  <si>
    <t>Phalaenopsis aphrodite</t>
  </si>
  <si>
    <t>Rhynchostylis gigantea, orange form</t>
  </si>
  <si>
    <t>Rodriguezia venusta</t>
  </si>
  <si>
    <t>Seidenfadenia mitrata</t>
  </si>
  <si>
    <t>Sobennikoffia robusta</t>
  </si>
  <si>
    <t>Trigonidium seemannii</t>
  </si>
  <si>
    <t>New Hybrid List - updated Dec 2018</t>
  </si>
  <si>
    <t>Brassocattleya Amethyst (B. cucullata x L. purpurata)</t>
  </si>
  <si>
    <t>Cattleya Chian-Tzy Guiding 'Chian-Tzy Red Top' (C. Chian-Tzy Angiekoh x C. milleri)</t>
  </si>
  <si>
    <t>Cattleya Green Emerald 'Orchid Queen' (C. Elizabeth Mahon x C. Thospol Spot)</t>
  </si>
  <si>
    <t>Cattleychea Merry Green 'Green Pride' FCC/AOS (Ctyh. Vienna Woods x C. Ann Follis)</t>
  </si>
  <si>
    <t xml:space="preserve">Cattleychea Siam Jade 'AVO' (C. Penny Kuroda x Ctyh. Vienna Woods) </t>
  </si>
  <si>
    <t>Cattlianthe Doris and Byron 'Christmas Rose' (C. Love Castle x Ctt. Candy Tuft)</t>
  </si>
  <si>
    <t>Ctt. Dogashima Sunset x Rlc. Shinfong Honey ’Happy New Year’</t>
  </si>
  <si>
    <t>Cycnoches TLDC Purple Frilled Lizard 'Orange Coffee' (Cyc. Anne-Kathrin Berger × Cyc. barthiorum)</t>
  </si>
  <si>
    <t>Dendrobium Enobi Purple 'Splash' (Den. Enobi Komachi x Den. Laguna Princess)</t>
  </si>
  <si>
    <t>Dendrobium Violet Yamaji ‘Nalo’ (Den. Midnight x Den. spectabile)</t>
  </si>
  <si>
    <t>Guaricattonia Why Not Walk (Grt. Why Not × C. walkeriana)</t>
  </si>
  <si>
    <t>Guaritonia Why Not 'Roundabout' (Gur. aurantiaca x Bro. sanguinea)</t>
  </si>
  <si>
    <t>Laeliocattleya Hsin Buu Lady (L. anceps x C. Wendy's Valentine)</t>
  </si>
  <si>
    <t>Rhyncattleanthe Chunfong Smile (Ctt. Chaveewan Beauty x Rlc. Kat E-Sun)</t>
  </si>
  <si>
    <t>Rhyncattleanthe Feng Hua One (Ctt. Chaveewan Beauty x Rth. Alpha Plus Gold)</t>
  </si>
  <si>
    <t>Rhyncattleanthe Fu Shu Glory ‘Happy Holiday’ (Rth. Varut Feastful x Ctt. Kauai Starbright)</t>
  </si>
  <si>
    <t>Rhyncattleanthe Miki Fire Ball (Rlc. Kat E-Sun x Ctt. Little Fairy)</t>
  </si>
  <si>
    <t>Rhyncholaeliocattleya Chunfong Queen (Rlc. Taiwan Queen x Rlc. Liu's Joyance)</t>
  </si>
  <si>
    <t>Rhyncholaeliocattleya Elegant Dancer (Rlc. Don De Michaels x Rlc. Dark Eyes)</t>
  </si>
  <si>
    <t>Rhyncholaeliocattleya Greenwich (C. Ann Follis x Rlc. Lester McDonald)</t>
  </si>
  <si>
    <t>Rhyncholaeliocattleya Hsinying Dream (C. Love Castle x Rlc. Birthday Dream)</t>
  </si>
  <si>
    <t>Rhyncholaeliocattleya Liu’s Joyance 'Jin Pin' (Rlc. Chunyeah x Rlc. Tainan Gold)</t>
  </si>
  <si>
    <t>Rhyncholaeliocattleya Liu’s Joyance 'No. 3' (Rlc. Chunyeah x Rlc. Tainan Gold)</t>
  </si>
  <si>
    <t>Rhyncholaeliocattleya Triumphal Coronation ’Seto’ (C. Drumbeat x Rlc. Pamela Hetherington)</t>
  </si>
  <si>
    <t>Rhynchovola Jimminey Cricket (B. nodosa x Rl. digbyana)</t>
  </si>
  <si>
    <t>Zygonisia Murasakikomachi (Zns. Roquebrune x Agn. cyanea)</t>
  </si>
  <si>
    <t>Cymbidium Golden Elf (Cymbidium ensifolium × Cymbidium Enid Haupt)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</si>
</sst>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]#,##0.00"/>
    <numFmt numFmtId="165" formatCode="[$NTD]#,##0.00"/>
  </numFmts>
  <fonts count="17">
    <font>
      <sz val="10"/>
      <color rgb="FF000000"/>
      <name val="Arial"/>
    </font>
    <font>
      <b/>
      <sz val="10"/>
      <color rgb="FF8E7CC3"/>
      <name val="Arial"/>
      <family val="2"/>
    </font>
    <font>
      <sz val="10"/>
      <name val="Arial"/>
      <family val="2"/>
    </font>
    <font>
      <sz val="14"/>
      <color rgb="FF8E7CC3"/>
      <name val="Arial"/>
      <family val="2"/>
    </font>
    <font>
      <b/>
      <sz val="12"/>
      <color rgb="FFE06666"/>
      <name val="Arial"/>
      <family val="2"/>
    </font>
    <font>
      <sz val="12"/>
      <name val="Arial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u/>
      <sz val="11"/>
      <color rgb="FF1155CC"/>
      <name val="Calibri"/>
      <family val="2"/>
    </font>
    <font>
      <u/>
      <sz val="11"/>
      <color rgb="FF1155CC"/>
      <name val="Calibri"/>
      <family val="2"/>
    </font>
    <font>
      <sz val="11"/>
      <name val="Calibri"/>
      <family val="2"/>
    </font>
    <font>
      <u/>
      <sz val="11"/>
      <color rgb="FF1155CC"/>
      <name val="Calibri"/>
      <family val="2"/>
    </font>
    <font>
      <u/>
      <sz val="11"/>
      <color rgb="FF1155CC"/>
      <name val="Calibri"/>
      <family val="2"/>
    </font>
    <font>
      <b/>
      <sz val="12"/>
      <color rgb="FFCC4125"/>
      <name val="Calibri"/>
      <family val="2"/>
    </font>
    <font>
      <u/>
      <sz val="11"/>
      <color rgb="FF1155CC"/>
      <name val="Calibri"/>
      <family val="2"/>
    </font>
    <font>
      <sz val="11"/>
      <color rgb="FF000000"/>
      <name val="Calibri"/>
      <family val="2"/>
    </font>
    <font>
      <sz val="11"/>
      <color rgb="FF000000"/>
      <name val="Docs-Calibri"/>
    </font>
  </fonts>
  <fills count="4">
    <fill>
      <patternFill patternType="none"/>
    </fill>
    <fill>
      <patternFill patternType="gray125"/>
    </fill>
    <fill>
      <patternFill patternType="solid">
        <fgColor rgb="FF8E7CC3"/>
        <bgColor rgb="FF8E7CC3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 applyAlignment="1">
      <alignment horizontal="left" vertical="top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0" borderId="0" xfId="0" applyFont="1"/>
    <xf numFmtId="0" fontId="7" fillId="2" borderId="2" xfId="0" applyFont="1" applyFill="1" applyBorder="1" applyAlignment="1">
      <alignment horizontal="center"/>
    </xf>
    <xf numFmtId="0" fontId="6" fillId="2" borderId="1" xfId="0" applyFont="1" applyFill="1" applyBorder="1" applyAlignment="1"/>
    <xf numFmtId="164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/>
    <xf numFmtId="164" fontId="7" fillId="2" borderId="2" xfId="0" applyNumberFormat="1" applyFont="1" applyFill="1" applyBorder="1" applyAlignment="1">
      <alignment horizontal="center"/>
    </xf>
    <xf numFmtId="0" fontId="8" fillId="0" borderId="3" xfId="0" applyFont="1" applyBorder="1" applyAlignment="1"/>
    <xf numFmtId="0" fontId="9" fillId="0" borderId="1" xfId="0" applyFont="1" applyBorder="1" applyAlignment="1"/>
    <xf numFmtId="0" fontId="10" fillId="0" borderId="4" xfId="0" applyFont="1" applyBorder="1" applyAlignment="1"/>
    <xf numFmtId="164" fontId="10" fillId="0" borderId="4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0" fontId="11" fillId="0" borderId="3" xfId="0" applyFont="1" applyBorder="1" applyAlignment="1"/>
    <xf numFmtId="164" fontId="10" fillId="0" borderId="4" xfId="0" applyNumberFormat="1" applyFont="1" applyBorder="1" applyAlignment="1">
      <alignment horizontal="center"/>
    </xf>
    <xf numFmtId="0" fontId="10" fillId="0" borderId="3" xfId="0" applyFont="1" applyBorder="1" applyAlignment="1"/>
    <xf numFmtId="164" fontId="10" fillId="0" borderId="4" xfId="0" applyNumberFormat="1" applyFont="1" applyBorder="1" applyAlignment="1">
      <alignment horizontal="center"/>
    </xf>
    <xf numFmtId="0" fontId="10" fillId="0" borderId="4" xfId="0" applyFont="1" applyBorder="1" applyAlignment="1"/>
    <xf numFmtId="0" fontId="12" fillId="0" borderId="4" xfId="0" applyFont="1" applyBorder="1" applyAlignment="1"/>
    <xf numFmtId="0" fontId="13" fillId="0" borderId="5" xfId="0" applyFont="1" applyBorder="1" applyAlignment="1"/>
    <xf numFmtId="0" fontId="10" fillId="0" borderId="6" xfId="0" applyFont="1" applyBorder="1" applyAlignment="1"/>
    <xf numFmtId="164" fontId="10" fillId="0" borderId="6" xfId="0" applyNumberFormat="1" applyFont="1" applyBorder="1" applyAlignment="1"/>
    <xf numFmtId="0" fontId="6" fillId="2" borderId="3" xfId="0" applyFont="1" applyFill="1" applyBorder="1" applyAlignment="1"/>
    <xf numFmtId="0" fontId="6" fillId="2" borderId="4" xfId="0" applyFont="1" applyFill="1" applyBorder="1" applyAlignment="1"/>
    <xf numFmtId="164" fontId="7" fillId="2" borderId="4" xfId="0" applyNumberFormat="1" applyFont="1" applyFill="1" applyBorder="1" applyAlignment="1">
      <alignment horizontal="center"/>
    </xf>
    <xf numFmtId="165" fontId="14" fillId="0" borderId="3" xfId="0" applyNumberFormat="1" applyFont="1" applyBorder="1" applyAlignment="1"/>
    <xf numFmtId="0" fontId="10" fillId="0" borderId="0" xfId="0" applyFont="1" applyAlignment="1"/>
    <xf numFmtId="165" fontId="10" fillId="0" borderId="6" xfId="0" applyNumberFormat="1" applyFont="1" applyBorder="1" applyAlignment="1"/>
    <xf numFmtId="0" fontId="10" fillId="0" borderId="6" xfId="0" applyFont="1" applyBorder="1" applyAlignment="1"/>
    <xf numFmtId="165" fontId="6" fillId="2" borderId="3" xfId="0" applyNumberFormat="1" applyFont="1" applyFill="1" applyBorder="1" applyAlignment="1"/>
    <xf numFmtId="0" fontId="6" fillId="2" borderId="4" xfId="0" applyFont="1" applyFill="1" applyBorder="1" applyAlignment="1"/>
    <xf numFmtId="0" fontId="6" fillId="2" borderId="1" xfId="0" applyFont="1" applyFill="1" applyBorder="1" applyAlignment="1"/>
    <xf numFmtId="0" fontId="7" fillId="2" borderId="2" xfId="0" applyFont="1" applyFill="1" applyBorder="1" applyAlignment="1"/>
    <xf numFmtId="0" fontId="6" fillId="2" borderId="3" xfId="0" applyFont="1" applyFill="1" applyBorder="1" applyAlignment="1"/>
    <xf numFmtId="0" fontId="7" fillId="2" borderId="4" xfId="0" applyFont="1" applyFill="1" applyBorder="1" applyAlignment="1"/>
    <xf numFmtId="0" fontId="15" fillId="0" borderId="3" xfId="0" applyFont="1" applyBorder="1" applyAlignment="1"/>
    <xf numFmtId="0" fontId="16" fillId="3" borderId="3" xfId="0" applyFont="1" applyFill="1" applyBorder="1" applyAlignment="1"/>
    <xf numFmtId="0" fontId="1" fillId="0" borderId="0" xfId="0" applyFont="1" applyAlignment="1">
      <alignment horizontal="left" vertical="top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W635"/>
  <sheetViews>
    <sheetView tabSelected="1" workbookViewId="0"/>
  </sheetViews>
  <sheetFormatPr baseColWidth="10" defaultColWidth="14.5" defaultRowHeight="15.75" customHeight="1"/>
  <cols>
    <col min="1" max="1" width="67.5" customWidth="1"/>
    <col min="2" max="2" width="7.5" customWidth="1"/>
    <col min="3" max="3" width="14.33203125" customWidth="1"/>
  </cols>
  <sheetData>
    <row r="1" spans="1:23" ht="15.75" customHeight="1">
      <c r="A1" s="1" t="s">
        <v>1</v>
      </c>
      <c r="B1" s="1"/>
      <c r="C1" s="3"/>
    </row>
    <row r="2" spans="1:23" ht="15.75" customHeight="1">
      <c r="A2" s="4" t="s">
        <v>2</v>
      </c>
      <c r="B2" s="3"/>
      <c r="C2" s="3"/>
    </row>
    <row r="3" spans="1:23" ht="15.75" customHeight="1">
      <c r="A3" s="4" t="s">
        <v>3</v>
      </c>
      <c r="B3" s="3"/>
      <c r="C3" s="3"/>
    </row>
    <row r="4" spans="1:23" ht="15.75" customHeight="1">
      <c r="A4" s="4" t="s">
        <v>4</v>
      </c>
      <c r="B4" s="3"/>
      <c r="C4" s="3"/>
    </row>
    <row r="5" spans="1:23">
      <c r="A5" s="5"/>
      <c r="B5" s="3"/>
      <c r="C5" s="3"/>
    </row>
    <row r="6" spans="1:23">
      <c r="A6" s="5" t="s">
        <v>5</v>
      </c>
      <c r="B6" s="3"/>
      <c r="C6" s="3"/>
    </row>
    <row r="7" spans="1:23">
      <c r="A7" s="6" t="s">
        <v>6</v>
      </c>
      <c r="B7" s="7"/>
      <c r="C7" s="7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>
      <c r="A8" s="12" t="s">
        <v>15</v>
      </c>
      <c r="B8" s="14" t="s">
        <v>14</v>
      </c>
      <c r="C8" s="15" t="s">
        <v>17</v>
      </c>
    </row>
    <row r="9" spans="1:23">
      <c r="A9" s="16" t="str">
        <f>HYPERLINK("https://photos.app.goo.gl/EuzkekUkQieS8h7z7","Acriopsis javanica, dark flower")</f>
        <v>Acriopsis javanica, dark flower</v>
      </c>
      <c r="B9" s="18" t="s">
        <v>18</v>
      </c>
      <c r="C9" s="19">
        <v>25</v>
      </c>
    </row>
    <row r="10" spans="1:23">
      <c r="A10" s="16" t="str">
        <f>HYPERLINK("https://photos.app.goo.gl/G15dBi9prstpcpFKA","Aerangis articulata")</f>
        <v>Aerangis articulata</v>
      </c>
      <c r="B10" s="18" t="s">
        <v>18</v>
      </c>
      <c r="C10" s="19">
        <v>30</v>
      </c>
    </row>
    <row r="11" spans="1:23">
      <c r="A11" s="16" t="str">
        <f>HYPERLINK("https://photos.app.goo.gl/4HmH6qr8kNeJDvWh6","Aerangis fastuosa")</f>
        <v>Aerangis fastuosa</v>
      </c>
      <c r="B11" s="18" t="s">
        <v>18</v>
      </c>
      <c r="C11" s="19">
        <v>20</v>
      </c>
    </row>
    <row r="12" spans="1:23">
      <c r="A12" s="16" t="str">
        <f>HYPERLINK("http://www.orchid.url.tw/myflowers/others/aeranthesgrandiflora1.jpg","Aeranthes grandiflora")</f>
        <v>Aeranthes grandiflora</v>
      </c>
      <c r="B12" s="18" t="s">
        <v>20</v>
      </c>
      <c r="C12" s="19">
        <v>30</v>
      </c>
    </row>
    <row r="13" spans="1:23">
      <c r="A13" s="16" t="str">
        <f>HYPERLINK("https://photos.app.goo.gl/JHD1E3jmxy1apkmX7","Aeranthes ramosa")</f>
        <v>Aeranthes ramosa</v>
      </c>
      <c r="B13" s="18" t="s">
        <v>18</v>
      </c>
      <c r="C13" s="19">
        <v>25</v>
      </c>
    </row>
    <row r="14" spans="1:23">
      <c r="A14" s="16" t="str">
        <f>HYPERLINK("https://photos.app.goo.gl/fccwhxtxQRZ29HHw5","Aerides flabellata")</f>
        <v>Aerides flabellata</v>
      </c>
      <c r="B14" s="18" t="s">
        <v>18</v>
      </c>
      <c r="C14" s="19">
        <v>25</v>
      </c>
    </row>
    <row r="15" spans="1:23">
      <c r="A15" s="16" t="str">
        <f>HYPERLINK("https://photos.app.goo.gl/U3z2JeXKXdj4z3qW9","Aerides houlletiana")</f>
        <v>Aerides houlletiana</v>
      </c>
      <c r="B15" s="18" t="s">
        <v>18</v>
      </c>
      <c r="C15" s="19">
        <v>25</v>
      </c>
    </row>
    <row r="16" spans="1:23">
      <c r="A16" s="16" t="str">
        <f>HYPERLINK("http://www.orchid.url.tw/myflowers/others/aerideslawrenceae5.jpg","Aerides lawrenceae")</f>
        <v>Aerides lawrenceae</v>
      </c>
      <c r="B16" s="18" t="s">
        <v>18</v>
      </c>
      <c r="C16" s="19">
        <v>25</v>
      </c>
    </row>
    <row r="17" spans="1:3">
      <c r="A17" s="16" t="str">
        <f>HYPERLINK("http://www.orchid.url.tw/myflowers/others/aeridesodorata20.jpg","Aerides odorata f. alba")</f>
        <v>Aerides odorata f. alba</v>
      </c>
      <c r="B17" s="18" t="s">
        <v>18</v>
      </c>
      <c r="C17" s="19">
        <v>25</v>
      </c>
    </row>
    <row r="18" spans="1:3">
      <c r="A18" s="16" t="str">
        <f>HYPERLINK("http://www.orchid.url.tw/myflowers/others/angraecumphilippinensis.jpg","Amesiella monticola")</f>
        <v>Amesiella monticola</v>
      </c>
      <c r="B18" s="18" t="s">
        <v>18</v>
      </c>
      <c r="C18" s="19">
        <v>20</v>
      </c>
    </row>
    <row r="19" spans="1:3">
      <c r="A19" s="16" t="str">
        <f>HYPERLINK("https://photos.app.goo.gl/1pmvVoz3TmD6ymqt6","Ancistrochilus rothschildianus")</f>
        <v>Ancistrochilus rothschildianus</v>
      </c>
      <c r="B19" s="18" t="s">
        <v>18</v>
      </c>
      <c r="C19" s="19">
        <v>25</v>
      </c>
    </row>
    <row r="20" spans="1:3">
      <c r="A20" s="16" t="str">
        <f>HYPERLINK("https://photos.app.goo.gl/DxiVewuq1EuqBqdN8","Angraecum bosseri")</f>
        <v>Angraecum bosseri</v>
      </c>
      <c r="B20" s="18" t="s">
        <v>18</v>
      </c>
      <c r="C20" s="19">
        <v>30</v>
      </c>
    </row>
    <row r="21" spans="1:3">
      <c r="A21" s="16" t="str">
        <f>HYPERLINK("https://photos.app.goo.gl/vWsi6YJL5KDCnuEd8","Angraecum calceolus")</f>
        <v>Angraecum calceolus</v>
      </c>
      <c r="B21" s="18" t="s">
        <v>20</v>
      </c>
      <c r="C21" s="19">
        <v>20</v>
      </c>
    </row>
    <row r="22" spans="1:3">
      <c r="A22" s="16" t="str">
        <f>HYPERLINK("http://www.orchid.url.tw/myflowers/others/angraecumeburneum.jpg","Angraecum eburneum")</f>
        <v>Angraecum eburneum</v>
      </c>
      <c r="B22" s="18" t="s">
        <v>18</v>
      </c>
      <c r="C22" s="19">
        <v>30</v>
      </c>
    </row>
    <row r="23" spans="1:3">
      <c r="A23" s="16" t="str">
        <f>HYPERLINK("http://www.orchid.url.tw/myflowers/others/angraecumelephantinum2.jpg","Angraecum elephantinum")</f>
        <v>Angraecum elephantinum</v>
      </c>
      <c r="B23" s="18" t="s">
        <v>18</v>
      </c>
      <c r="C23" s="19">
        <v>25</v>
      </c>
    </row>
    <row r="24" spans="1:3">
      <c r="A24" s="16" t="str">
        <f>HYPERLINK("https://photos.app.goo.gl/7RKmtjuE8PQboRRq8","Angraecum germinyanum")</f>
        <v>Angraecum germinyanum</v>
      </c>
      <c r="B24" s="18" t="s">
        <v>18</v>
      </c>
      <c r="C24" s="19">
        <v>25</v>
      </c>
    </row>
    <row r="25" spans="1:3">
      <c r="A25" s="16" t="str">
        <f>HYPERLINK("https://photos.app.goo.gl/2qShJXfC1muoYnr76","Angraecum magdalenae")</f>
        <v>Angraecum magdalenae</v>
      </c>
      <c r="B25" s="18" t="s">
        <v>18</v>
      </c>
      <c r="C25" s="19">
        <v>30</v>
      </c>
    </row>
    <row r="26" spans="1:3">
      <c r="A26" s="16" t="str">
        <f>HYPERLINK("http://www.orchid.url.tw/myflowers/others/anselliaafricana5.jpg","Ansellia africana")</f>
        <v>Ansellia africana</v>
      </c>
      <c r="B26" s="18" t="s">
        <v>18</v>
      </c>
      <c r="C26" s="19">
        <v>30</v>
      </c>
    </row>
    <row r="27" spans="1:3">
      <c r="A27" s="16" t="str">
        <f>HYPERLINK("https://photos.app.goo.gl/DGs39jN3DQ5EumHN7","Arundina graminifolia")</f>
        <v>Arundina graminifolia</v>
      </c>
      <c r="B27" s="18" t="s">
        <v>18</v>
      </c>
      <c r="C27" s="19">
        <v>15</v>
      </c>
    </row>
    <row r="28" spans="1:3">
      <c r="A28" s="16" t="str">
        <f>HYPERLINK("https://photos.app.goo.gl/F2H4gSnNqvvv4hwEA","Ascocentrum ampullaceum")</f>
        <v>Ascocentrum ampullaceum</v>
      </c>
      <c r="B28" s="18" t="s">
        <v>18</v>
      </c>
      <c r="C28" s="19">
        <v>25</v>
      </c>
    </row>
    <row r="29" spans="1:3">
      <c r="A29" s="16" t="str">
        <f>HYPERLINK("https://photos.app.goo.gl/19MNhPgfYJidk2wp7","Ascocentrum christensonianum")</f>
        <v>Ascocentrum christensonianum</v>
      </c>
      <c r="B29" s="18" t="s">
        <v>18</v>
      </c>
      <c r="C29" s="19">
        <v>25</v>
      </c>
    </row>
    <row r="30" spans="1:3">
      <c r="A30" s="16" t="str">
        <f>HYPERLINK("https://photos.app.goo.gl/yrFhjNciBpR6LfCx8","Ascocentrum curvifolium")</f>
        <v>Ascocentrum curvifolium</v>
      </c>
      <c r="B30" s="18" t="s">
        <v>18</v>
      </c>
      <c r="C30" s="19">
        <v>25</v>
      </c>
    </row>
    <row r="31" spans="1:3">
      <c r="A31" s="16" t="str">
        <f>HYPERLINK("https://photos.app.goo.gl/g9aWqsMJkw4VGfsv8","Ascocentrum garayi / miniatum")</f>
        <v>Ascocentrum garayi / miniatum</v>
      </c>
      <c r="B31" s="18" t="s">
        <v>18</v>
      </c>
      <c r="C31" s="19">
        <v>20</v>
      </c>
    </row>
    <row r="32" spans="1:3">
      <c r="A32" s="16" t="str">
        <f>HYPERLINK("https://photos.app.goo.gl/C54bziiwhF3Tm7Th8","B. / Rhyncholaelia digbyana")</f>
        <v>B. / Rhyncholaelia digbyana</v>
      </c>
      <c r="B32" s="18" t="s">
        <v>18</v>
      </c>
      <c r="C32" s="19">
        <v>30</v>
      </c>
    </row>
    <row r="33" spans="1:3">
      <c r="A33" s="16" t="str">
        <f>HYPERLINK("https://photos.app.goo.gl/oVTqbJbvDcdCLWScA","B. / Rhyncholaelia glauca")</f>
        <v>B. / Rhyncholaelia glauca</v>
      </c>
      <c r="B33" s="18" t="s">
        <v>18</v>
      </c>
      <c r="C33" s="19">
        <v>25</v>
      </c>
    </row>
    <row r="34" spans="1:3">
      <c r="A34" s="16" t="str">
        <f>HYPERLINK("https://photos.app.goo.gl/5Xpezxky6KhAMrjq9","Bifrenaria harrisoniae")</f>
        <v>Bifrenaria harrisoniae</v>
      </c>
      <c r="B34" s="18" t="s">
        <v>18</v>
      </c>
      <c r="C34" s="19">
        <v>25</v>
      </c>
    </row>
    <row r="35" spans="1:3">
      <c r="A35" s="16" t="str">
        <f>HYPERLINK("https://photos.app.goo.gl/A5PtCMHNutaZCXfW7","Bifrenaria harrisoniae f. alba")</f>
        <v>Bifrenaria harrisoniae f. alba</v>
      </c>
      <c r="B35" s="18" t="s">
        <v>18</v>
      </c>
      <c r="C35" s="19">
        <v>35</v>
      </c>
    </row>
    <row r="36" spans="1:3">
      <c r="A36" s="16" t="str">
        <f>HYPERLINK("https://photos.app.goo.gl/7YC53eFyyVmHkx6y5","Brassavola cordata / subulifolia")</f>
        <v>Brassavola cordata / subulifolia</v>
      </c>
      <c r="B36" s="18" t="s">
        <v>18</v>
      </c>
      <c r="C36" s="19">
        <v>25</v>
      </c>
    </row>
    <row r="37" spans="1:3">
      <c r="A37" s="16" t="str">
        <f>HYPERLINK("http://www.orchid.url.tw/myflowers/cattleya/brassavolaflagellaris.jpg","Brassavola flagellaris")</f>
        <v>Brassavola flagellaris</v>
      </c>
      <c r="B37" s="18" t="s">
        <v>18</v>
      </c>
      <c r="C37" s="19">
        <v>25</v>
      </c>
    </row>
    <row r="38" spans="1:3">
      <c r="A38" s="16" t="str">
        <f>HYPERLINK("https://photos.app.goo.gl/z1VFCVRWadZ2fbQp8","Brassavola fragrans / tuberculata")</f>
        <v>Brassavola fragrans / tuberculata</v>
      </c>
      <c r="B38" s="18" t="s">
        <v>18</v>
      </c>
      <c r="C38" s="19">
        <v>25</v>
      </c>
    </row>
    <row r="39" spans="1:3">
      <c r="A39" s="16" t="str">
        <f>HYPERLINK("http://www.orchid.url.tw/myflowers/bulbophyllum/affine.jpg","Bulbophyllum affine")</f>
        <v>Bulbophyllum affine</v>
      </c>
      <c r="B39" s="18" t="s">
        <v>18</v>
      </c>
      <c r="C39" s="19">
        <v>20</v>
      </c>
    </row>
    <row r="40" spans="1:3">
      <c r="A40" s="16" t="str">
        <f>HYPERLINK("http://www.orchid.url.tw/myflowers/bulbophyllum/ambrosia.jpg","Bulbophyllum ambrosia")</f>
        <v>Bulbophyllum ambrosia</v>
      </c>
      <c r="B40" s="18" t="s">
        <v>18</v>
      </c>
      <c r="C40" s="19">
        <v>20</v>
      </c>
    </row>
    <row r="41" spans="1:3">
      <c r="A41" s="16" t="str">
        <f>HYPERLINK("https://photos.app.goo.gl/51p47oeLFJLyVf3F7","Bulbophyllum barbigerum")</f>
        <v>Bulbophyllum barbigerum</v>
      </c>
      <c r="B41" s="18" t="s">
        <v>18</v>
      </c>
      <c r="C41" s="19">
        <v>30</v>
      </c>
    </row>
    <row r="42" spans="1:3">
      <c r="A42" s="16" t="str">
        <f>HYPERLINK("https://photos.app.goo.gl/oqqnMFtXiid96b646","Bulbophyllum bicolor")</f>
        <v>Bulbophyllum bicolor</v>
      </c>
      <c r="B42" s="18" t="s">
        <v>18</v>
      </c>
      <c r="C42" s="19">
        <v>25</v>
      </c>
    </row>
    <row r="43" spans="1:3">
      <c r="A43" s="16" t="str">
        <f>HYPERLINK("http://kawasaki-orchid.net/cms/wp-content/dscn8683.JPG","Bulbophyllum biflorum f. alba")</f>
        <v>Bulbophyllum biflorum f. alba</v>
      </c>
      <c r="B43" s="18" t="s">
        <v>18</v>
      </c>
      <c r="C43" s="19">
        <v>45</v>
      </c>
    </row>
    <row r="44" spans="1:3">
      <c r="A44" s="16" t="str">
        <f>HYPERLINK("http://www.orchid.url.tw/myflowers/bulbophyllum/blepharistes2.jpg","Bulbophyllum blepharistes")</f>
        <v>Bulbophyllum blepharistes</v>
      </c>
      <c r="B44" s="18" t="s">
        <v>18</v>
      </c>
      <c r="C44" s="19">
        <v>25</v>
      </c>
    </row>
    <row r="45" spans="1:3">
      <c r="A45" s="16" t="str">
        <f>HYPERLINK("https://photos.app.goo.gl/zMsJAUgW64BUW5MY8","Bulbophyllum blumei")</f>
        <v>Bulbophyllum blumei</v>
      </c>
      <c r="B45" s="18" t="s">
        <v>18</v>
      </c>
      <c r="C45" s="19">
        <v>25</v>
      </c>
    </row>
    <row r="46" spans="1:3">
      <c r="A46" s="16" t="str">
        <f>HYPERLINK("https://photos.app.goo.gl/wzPd4qYHpJwt2kA67","Bulbophyllum careyanum")</f>
        <v>Bulbophyllum careyanum</v>
      </c>
      <c r="B46" s="18" t="s">
        <v>18</v>
      </c>
      <c r="C46" s="19">
        <v>25</v>
      </c>
    </row>
    <row r="47" spans="1:3" ht="15">
      <c r="A47" s="16" t="str">
        <f>HYPERLINK("https://photos.app.goo.gl/xWndfESSHeGbrgkv8","Bulbophyllum cheiri")</f>
        <v>Bulbophyllum cheiri</v>
      </c>
      <c r="B47" s="18" t="s">
        <v>18</v>
      </c>
      <c r="C47" s="19">
        <v>30</v>
      </c>
    </row>
    <row r="48" spans="1:3" ht="15">
      <c r="A48" s="16" t="str">
        <f>HYPERLINK("https://photos.app.goo.gl/2aLxyWg3sFjhtHu48","Bulbophyllum claptonense")</f>
        <v>Bulbophyllum claptonense</v>
      </c>
      <c r="B48" s="18" t="s">
        <v>18</v>
      </c>
      <c r="C48" s="19">
        <v>30</v>
      </c>
    </row>
    <row r="49" spans="1:3" ht="15">
      <c r="A49" s="16" t="str">
        <f>HYPERLINK("https://photos.app.goo.gl/76bi5R1zQ3dsWoHL8","Bulbophyllum cocoinum")</f>
        <v>Bulbophyllum cocoinum</v>
      </c>
      <c r="B49" s="18" t="s">
        <v>18</v>
      </c>
      <c r="C49" s="19">
        <v>25</v>
      </c>
    </row>
    <row r="50" spans="1:3" ht="15">
      <c r="A50" s="16" t="str">
        <f>HYPERLINK("https://photos.app.goo.gl/gBvTeDuAKEuznTBB6","Bulbophyllum crassipes")</f>
        <v>Bulbophyllum crassipes</v>
      </c>
      <c r="B50" s="18" t="s">
        <v>18</v>
      </c>
      <c r="C50" s="19">
        <v>25</v>
      </c>
    </row>
    <row r="51" spans="1:3" ht="15">
      <c r="A51" s="16" t="str">
        <f>HYPERLINK("https://photos.app.goo.gl/d8vDyVFAM2N2PtFq6","Bulbophyllum crassipes f. flava")</f>
        <v>Bulbophyllum crassipes f. flava</v>
      </c>
      <c r="B51" s="18" t="s">
        <v>18</v>
      </c>
      <c r="C51" s="19">
        <v>25</v>
      </c>
    </row>
    <row r="52" spans="1:3" ht="15">
      <c r="A52" s="16" t="str">
        <f>HYPERLINK("https://photos.app.goo.gl/XBR7JPiuHY3rRVtB7","Bulbophyllum cruentum")</f>
        <v>Bulbophyllum cruentum</v>
      </c>
      <c r="B52" s="18" t="s">
        <v>18</v>
      </c>
      <c r="C52" s="19">
        <v>65</v>
      </c>
    </row>
    <row r="53" spans="1:3" ht="15">
      <c r="A53" s="16" t="str">
        <f>HYPERLINK("https://photos.app.goo.gl/u7ykn5iX5tBdmtC46","Bulbophyllum dearei")</f>
        <v>Bulbophyllum dearei</v>
      </c>
      <c r="B53" s="18" t="s">
        <v>18</v>
      </c>
      <c r="C53" s="19">
        <v>30</v>
      </c>
    </row>
    <row r="54" spans="1:3" ht="15">
      <c r="A54" s="16" t="str">
        <f>HYPERLINK("http://www.orchid.url.tw/myflowers/bulbophyllum/eberhardtii.jpg","Bulbophyllum eberhardtii")</f>
        <v>Bulbophyllum eberhardtii</v>
      </c>
      <c r="B54" s="18" t="s">
        <v>18</v>
      </c>
      <c r="C54" s="19">
        <v>25</v>
      </c>
    </row>
    <row r="55" spans="1:3" ht="15">
      <c r="A55" s="16" t="str">
        <f>HYPERLINK("https://photos.app.goo.gl/6ho7kYkZCJAfDiiu5","Bulbophyllum falcatum")</f>
        <v>Bulbophyllum falcatum</v>
      </c>
      <c r="B55" s="18" t="s">
        <v>18</v>
      </c>
      <c r="C55" s="19">
        <v>25</v>
      </c>
    </row>
    <row r="56" spans="1:3" ht="15">
      <c r="A56" s="16" t="str">
        <f>HYPERLINK("http://www.orchid.url.tw/myflowers/bulbophyllum/falcatum8.jpg","Bulbophyllum falcatum f. alba 'Jia Ho'")</f>
        <v>Bulbophyllum falcatum f. alba 'Jia Ho'</v>
      </c>
      <c r="B56" s="18" t="s">
        <v>18</v>
      </c>
      <c r="C56" s="19">
        <v>30</v>
      </c>
    </row>
    <row r="57" spans="1:3" ht="15">
      <c r="A57" s="16" t="str">
        <f>HYPERLINK("https://photos.app.goo.gl/7PMDVjiKxP5Lo59A9","Bulbophyllum fascinator")</f>
        <v>Bulbophyllum fascinator</v>
      </c>
      <c r="B57" s="18" t="s">
        <v>18</v>
      </c>
      <c r="C57" s="19">
        <v>20</v>
      </c>
    </row>
    <row r="58" spans="1:3" ht="15">
      <c r="A58" s="16" t="str">
        <f>HYPERLINK("https://photos.app.goo.gl/9VkcvMFaGmBeJfpV8","Bulbophyllum fascinator f. alba")</f>
        <v>Bulbophyllum fascinator f. alba</v>
      </c>
      <c r="B58" s="18" t="s">
        <v>18</v>
      </c>
      <c r="C58" s="19">
        <v>120</v>
      </c>
    </row>
    <row r="59" spans="1:3" ht="15">
      <c r="A59" s="16" t="str">
        <f>HYPERLINK("https://photos.app.goo.gl/AwvFZjY3DcMwPgMz6","Bulbophyllum fascinator f. semialba")</f>
        <v>Bulbophyllum fascinator f. semialba</v>
      </c>
      <c r="B59" s="18" t="s">
        <v>18</v>
      </c>
      <c r="C59" s="19">
        <v>45</v>
      </c>
    </row>
    <row r="60" spans="1:3" ht="15">
      <c r="A60" s="16" t="str">
        <f>HYPERLINK("http://www.orchid.url.tw/myflowers/bulbophyllum/fraudolentum.jpg","Bulbophyllum fraudulentum")</f>
        <v>Bulbophyllum fraudulentum</v>
      </c>
      <c r="B60" s="18" t="s">
        <v>18</v>
      </c>
      <c r="C60" s="19">
        <v>20</v>
      </c>
    </row>
    <row r="61" spans="1:3" ht="15">
      <c r="A61" s="16" t="str">
        <f>HYPERLINK("https://photos.app.goo.gl/siuggvJcDcTdLixu9","Bulbophyllum grandiflorum")</f>
        <v>Bulbophyllum grandiflorum</v>
      </c>
      <c r="B61" s="18" t="s">
        <v>18</v>
      </c>
      <c r="C61" s="19">
        <v>25</v>
      </c>
    </row>
    <row r="62" spans="1:3" ht="15">
      <c r="A62" s="16" t="str">
        <f>HYPERLINK("https://photos.app.goo.gl/Hr4ivuaWmFoaQUnu5","Bulbophyllum hirundinis")</f>
        <v>Bulbophyllum hirundinis</v>
      </c>
      <c r="B62" s="18" t="s">
        <v>18</v>
      </c>
      <c r="C62" s="19">
        <v>25</v>
      </c>
    </row>
    <row r="63" spans="1:3" ht="15">
      <c r="A63" s="16" t="str">
        <f>HYPERLINK("http://www.orchid.url.tw/myflowers/bulbophyllum/brevicapum.jpg","Bulbophyllum lasiochilum")</f>
        <v>Bulbophyllum lasiochilum</v>
      </c>
      <c r="B63" s="18" t="s">
        <v>18</v>
      </c>
      <c r="C63" s="19">
        <v>25</v>
      </c>
    </row>
    <row r="64" spans="1:3" ht="15">
      <c r="A64" s="16" t="str">
        <f>HYPERLINK("http://www.orchid.url.tw/myflowers/bulbophyllum/laxiflorum3.jpg","Bulbophyllum laxiflorum")</f>
        <v>Bulbophyllum laxiflorum</v>
      </c>
      <c r="B64" s="18" t="s">
        <v>18</v>
      </c>
      <c r="C64" s="19">
        <v>25</v>
      </c>
    </row>
    <row r="65" spans="1:3" ht="15">
      <c r="A65" s="16" t="str">
        <f>HYPERLINK("http://www.orchid.url.tw/myflowers/bulbophyllum/lepidum1.jpg","Bulbophyllum lepidum")</f>
        <v>Bulbophyllum lepidum</v>
      </c>
      <c r="B65" s="18" t="s">
        <v>18</v>
      </c>
      <c r="C65" s="19">
        <v>20</v>
      </c>
    </row>
    <row r="66" spans="1:3" ht="15">
      <c r="A66" s="16" t="str">
        <f>HYPERLINK("https://photos.app.goo.gl/5g6kquwN2wN7tToVA","Bulbophyllum longiflorum")</f>
        <v>Bulbophyllum longiflorum</v>
      </c>
      <c r="B66" s="18" t="s">
        <v>18</v>
      </c>
      <c r="C66" s="19">
        <v>30</v>
      </c>
    </row>
    <row r="67" spans="1:3" ht="15">
      <c r="A67" s="16" t="str">
        <f>HYPERLINK("https://photos.app.goo.gl/BD2MWxYpzydKnPPC8","Bulbophyllum longissimum")</f>
        <v>Bulbophyllum longissimum</v>
      </c>
      <c r="B67" s="18" t="s">
        <v>18</v>
      </c>
      <c r="C67" s="19">
        <v>25</v>
      </c>
    </row>
    <row r="68" spans="1:3" ht="15">
      <c r="A68" s="16" t="str">
        <f>HYPERLINK("https://photos.app.goo.gl/2Ao9qJuhiUt4eqEb7","Bulbophyllum longisepalum")</f>
        <v>Bulbophyllum longisepalum</v>
      </c>
      <c r="B68" s="18" t="s">
        <v>18</v>
      </c>
      <c r="C68" s="19">
        <v>30</v>
      </c>
    </row>
    <row r="69" spans="1:3" ht="15">
      <c r="A69" s="16" t="str">
        <f>HYPERLINK("http://www.orchid.url.tw/myflowers/bulbophyllum/macraei2.jpg","Bulbophyllum macraei")</f>
        <v>Bulbophyllum macraei</v>
      </c>
      <c r="B69" s="18" t="s">
        <v>18</v>
      </c>
      <c r="C69" s="19">
        <v>30</v>
      </c>
    </row>
    <row r="70" spans="1:3" ht="15">
      <c r="A70" s="16" t="str">
        <f>HYPERLINK("https://photos.app.goo.gl/33V6wneN7j86BW529","Bulbophyllum macranthum")</f>
        <v>Bulbophyllum macranthum</v>
      </c>
      <c r="B70" s="18" t="s">
        <v>18</v>
      </c>
      <c r="C70" s="19">
        <v>25</v>
      </c>
    </row>
    <row r="71" spans="1:3" ht="15">
      <c r="A71" s="16" t="str">
        <f>HYPERLINK("https://photos.app.goo.gl/fFaWjMUg9EBT7ZWy5","Bulbophyllum makoyanum")</f>
        <v>Bulbophyllum makoyanum</v>
      </c>
      <c r="B71" s="18" t="s">
        <v>18</v>
      </c>
      <c r="C71" s="19">
        <v>25</v>
      </c>
    </row>
    <row r="72" spans="1:3" ht="15">
      <c r="A72" s="16" t="str">
        <f>HYPERLINK("https://photos.app.goo.gl/NKV6Rdf6Ma6E7oBM7","Bulbophyllum mastersianum")</f>
        <v>Bulbophyllum mastersianum</v>
      </c>
      <c r="B72" s="18" t="s">
        <v>18</v>
      </c>
      <c r="C72" s="19">
        <v>45</v>
      </c>
    </row>
    <row r="73" spans="1:3" ht="15">
      <c r="A73" s="16" t="str">
        <f>HYPERLINK("https://photos.app.goo.gl/JsjWh16ag7kZNkpD8","Bulbophyllum maximum")</f>
        <v>Bulbophyllum maximum</v>
      </c>
      <c r="B73" s="18" t="s">
        <v>18</v>
      </c>
      <c r="C73" s="19">
        <v>25</v>
      </c>
    </row>
    <row r="74" spans="1:3" ht="15">
      <c r="A74" s="16" t="str">
        <f>HYPERLINK("https://photos.app.goo.gl/qPxaTCCpJPZnB3Xe7","Bulbophyllum medusae")</f>
        <v>Bulbophyllum medusae</v>
      </c>
      <c r="B74" s="18" t="s">
        <v>18</v>
      </c>
      <c r="C74" s="19">
        <v>30</v>
      </c>
    </row>
    <row r="75" spans="1:3" ht="15">
      <c r="A75" s="16" t="str">
        <f>HYPERLINK("https://photos.app.goo.gl/KaAP8Nwsivqj7RKx9","Bulbophyllum miniatum / tingabarinum / pecten-veneris")</f>
        <v>Bulbophyllum miniatum / tingabarinum / pecten-veneris</v>
      </c>
      <c r="B75" s="18" t="s">
        <v>18</v>
      </c>
      <c r="C75" s="19">
        <v>20</v>
      </c>
    </row>
    <row r="76" spans="1:3" ht="15">
      <c r="A76" s="16" t="str">
        <f>HYPERLINK("http://www.orchid.url.tw/myflowers/bulbophyllum/othonis3.jpg","Bulbophyllum othonis")</f>
        <v>Bulbophyllum othonis</v>
      </c>
      <c r="B76" s="18" t="s">
        <v>18</v>
      </c>
      <c r="C76" s="19">
        <v>20</v>
      </c>
    </row>
    <row r="77" spans="1:3" ht="15">
      <c r="A77" s="16" t="str">
        <f>HYPERLINK("http://www.orchid.url.tw/myflowers/bulbophyllum/oxypterum.jpg","Bulbophyllum oxypterum")</f>
        <v>Bulbophyllum oxypterum</v>
      </c>
      <c r="B77" s="18" t="s">
        <v>18</v>
      </c>
      <c r="C77" s="19">
        <v>40</v>
      </c>
    </row>
    <row r="78" spans="1:3" ht="15">
      <c r="A78" s="16" t="str">
        <f>HYPERLINK("https://photos.app.goo.gl/aZrPZCm65WqQj6qT9","Bulbophyllum phalaenopsis")</f>
        <v>Bulbophyllum phalaenopsis</v>
      </c>
      <c r="B78" s="18" t="s">
        <v>18</v>
      </c>
      <c r="C78" s="19">
        <v>65</v>
      </c>
    </row>
    <row r="79" spans="1:3" ht="15">
      <c r="A79" s="16" t="str">
        <f>HYPERLINK("https://photos.app.goo.gl/cea9D8nHZ22XDYyb7","Bulbophyllum pingtungensis")</f>
        <v>Bulbophyllum pingtungensis</v>
      </c>
      <c r="B79" s="18" t="s">
        <v>18</v>
      </c>
      <c r="C79" s="19">
        <v>25</v>
      </c>
    </row>
    <row r="80" spans="1:3" ht="15">
      <c r="A80" s="16" t="str">
        <f>HYPERLINK("https://photos.app.goo.gl/8prpoLPrBD374qU49","Bulbophyllum plumatum")</f>
        <v>Bulbophyllum plumatum</v>
      </c>
      <c r="B80" s="18" t="s">
        <v>18</v>
      </c>
      <c r="C80" s="19">
        <v>30</v>
      </c>
    </row>
    <row r="81" spans="1:3" ht="15">
      <c r="A81" s="16" t="str">
        <f>HYPERLINK("https://photos.app.goo.gl/sATf7n3zpY73za236","Bulbophyllum purpureorhachis 'Aina Okika'")</f>
        <v>Bulbophyllum purpureorhachis 'Aina Okika'</v>
      </c>
      <c r="B81" s="18" t="s">
        <v>18</v>
      </c>
      <c r="C81" s="19">
        <v>80</v>
      </c>
    </row>
    <row r="82" spans="1:3" ht="15">
      <c r="A82" s="16" t="str">
        <f>HYPERLINK("https://photos.app.goo.gl/Wta1hJ367F8YfXYo6","Bulbophyllum putidum")</f>
        <v>Bulbophyllum putidum</v>
      </c>
      <c r="B82" s="18" t="s">
        <v>18</v>
      </c>
      <c r="C82" s="19">
        <v>20</v>
      </c>
    </row>
    <row r="83" spans="1:3" ht="15">
      <c r="A83" s="16" t="str">
        <f>HYPERLINK("https://photos.app.goo.gl/DpVPevyu7hqjhPbj8","Bulbophyllum retusiusculum")</f>
        <v>Bulbophyllum retusiusculum</v>
      </c>
      <c r="B83" s="18" t="s">
        <v>18</v>
      </c>
      <c r="C83" s="19">
        <v>25</v>
      </c>
    </row>
    <row r="84" spans="1:3" ht="15">
      <c r="A84" s="16" t="str">
        <f>HYPERLINK("https://photos.app.goo.gl/waLf2y2v9FzAR55K8","Bulbophyllum rothschildianum")</f>
        <v>Bulbophyllum rothschildianum</v>
      </c>
      <c r="B84" s="18" t="s">
        <v>18</v>
      </c>
      <c r="C84" s="19">
        <v>25</v>
      </c>
    </row>
    <row r="85" spans="1:3" ht="15">
      <c r="A85" s="16" t="str">
        <f>HYPERLINK("http://www.orchid.url.tw/myflowers/bulbophyllum/rufilabrum.jpg","Bulbophyllum rufilabrum")</f>
        <v>Bulbophyllum rufilabrum</v>
      </c>
      <c r="B85" s="18" t="s">
        <v>18</v>
      </c>
      <c r="C85" s="19">
        <v>35</v>
      </c>
    </row>
    <row r="86" spans="1:3" ht="15">
      <c r="A86" s="16" t="str">
        <f>HYPERLINK("https://photos.app.goo.gl/F73xMeXxbGod4Bkg7","Bulbophyllum saltatorium var. albocillatum")</f>
        <v>Bulbophyllum saltatorium var. albocillatum</v>
      </c>
      <c r="B86" s="18" t="s">
        <v>18</v>
      </c>
      <c r="C86" s="19">
        <v>35</v>
      </c>
    </row>
    <row r="87" spans="1:3" ht="15">
      <c r="A87" s="16" t="str">
        <f>HYPERLINK("http://www.orchid.url.tw/myflowers/bulbophyllum/setaceum1.jpg","Bulbophyllum setaceum")</f>
        <v>Bulbophyllum setaceum</v>
      </c>
      <c r="B87" s="18" t="s">
        <v>18</v>
      </c>
      <c r="C87" s="19">
        <v>30</v>
      </c>
    </row>
    <row r="88" spans="1:3" ht="15">
      <c r="A88" s="16" t="str">
        <f>HYPERLINK("https://photos.app.goo.gl/DHCyreQBFbGtnnRQA","Bulbophyllum sikkimense")</f>
        <v>Bulbophyllum sikkimense</v>
      </c>
      <c r="B88" s="18" t="s">
        <v>18</v>
      </c>
      <c r="C88" s="19">
        <v>20</v>
      </c>
    </row>
    <row r="89" spans="1:3" ht="15">
      <c r="A89" s="16" t="str">
        <f>HYPERLINK("https://photos.app.goo.gl/GTCLsNxAzjkb26ZL7","Bulbophyllum sp. aff. arfakianum f. green")</f>
        <v>Bulbophyllum sp. aff. arfakianum f. green</v>
      </c>
      <c r="B89" s="18" t="s">
        <v>18</v>
      </c>
      <c r="C89" s="19">
        <v>30</v>
      </c>
    </row>
    <row r="90" spans="1:3" ht="15">
      <c r="A90" s="16" t="str">
        <f>HYPERLINK("https://photos.app.goo.gl/Y37JA7MJNe23f7qA9","Bulbophyllum taiwanense")</f>
        <v>Bulbophyllum taiwanense</v>
      </c>
      <c r="B90" s="18" t="s">
        <v>18</v>
      </c>
      <c r="C90" s="19">
        <v>20</v>
      </c>
    </row>
    <row r="91" spans="1:3" ht="15">
      <c r="A91" s="16" t="str">
        <f>HYPERLINK("https://photos.app.goo.gl/Yn3aDy9GpeyBdiEh9","Bulbophyllum thiurum")</f>
        <v>Bulbophyllum thiurum</v>
      </c>
      <c r="B91" s="18" t="s">
        <v>18</v>
      </c>
      <c r="C91" s="19">
        <v>30</v>
      </c>
    </row>
    <row r="92" spans="1:3" ht="15">
      <c r="A92" s="16" t="str">
        <f>HYPERLINK("https://photos.app.goo.gl/rgJn8T9PHasL6nFT7","Bulbophyllum tremulum")</f>
        <v>Bulbophyllum tremulum</v>
      </c>
      <c r="B92" s="18" t="s">
        <v>18</v>
      </c>
      <c r="C92" s="19">
        <v>30</v>
      </c>
    </row>
    <row r="93" spans="1:3" ht="15">
      <c r="A93" s="16" t="str">
        <f>HYPERLINK("https://photos.app.goo.gl/qGwCLG7gbU7RG5r89","Bulbophyllum treschii")</f>
        <v>Bulbophyllum treschii</v>
      </c>
      <c r="B93" s="18" t="s">
        <v>18</v>
      </c>
      <c r="C93" s="19">
        <v>30</v>
      </c>
    </row>
    <row r="94" spans="1:3" ht="15">
      <c r="A94" s="16" t="str">
        <f>HYPERLINK("http://www.orchid.url.tw/myflowers/bulbophyllum/umbellatum.jpg","Bulbophyllum umbellatum")</f>
        <v>Bulbophyllum umbellatum</v>
      </c>
      <c r="B94" s="18" t="s">
        <v>18</v>
      </c>
      <c r="C94" s="19">
        <v>20</v>
      </c>
    </row>
    <row r="95" spans="1:3" ht="15">
      <c r="A95" s="16" t="str">
        <f>HYPERLINK("https://photos.app.goo.gl/1aMcxmjqU5rLRxpE6","Bulbophyllum unitubum")</f>
        <v>Bulbophyllum unitubum</v>
      </c>
      <c r="B95" s="18" t="s">
        <v>18</v>
      </c>
      <c r="C95" s="19">
        <v>45</v>
      </c>
    </row>
    <row r="96" spans="1:3" ht="15">
      <c r="A96" s="16" t="str">
        <f>HYPERLINK("https://photos.app.goo.gl/uPCdi4FMqwLiK3Zu7","Bulbophyllum vaginatum")</f>
        <v>Bulbophyllum vaginatum</v>
      </c>
      <c r="B96" s="18" t="s">
        <v>18</v>
      </c>
      <c r="C96" s="19">
        <v>20</v>
      </c>
    </row>
    <row r="97" spans="1:3" ht="15">
      <c r="A97" s="16" t="str">
        <f>HYPERLINK("https://photos.app.goo.gl/cVynzbr4b2yvUUWC7","C. / Guarianthe aurantiaca")</f>
        <v>C. / Guarianthe aurantiaca</v>
      </c>
      <c r="B97" s="18" t="s">
        <v>18</v>
      </c>
      <c r="C97" s="19">
        <v>25</v>
      </c>
    </row>
    <row r="98" spans="1:3" ht="15">
      <c r="A98" s="16" t="str">
        <f>HYPERLINK("https://photos.app.goo.gl/C2WRKSuppwLTW3LL6","C. / Guarianthe bowringiana f. coerulea")</f>
        <v>C. / Guarianthe bowringiana f. coerulea</v>
      </c>
      <c r="B98" s="18" t="s">
        <v>18</v>
      </c>
      <c r="C98" s="19">
        <v>30</v>
      </c>
    </row>
    <row r="99" spans="1:3" ht="15">
      <c r="A99" s="16" t="str">
        <f>HYPERLINK("https://photos.app.goo.gl/YxzKuPMsEawgBENPA","C. / Guarianthe bowringiana, red form")</f>
        <v>C. / Guarianthe bowringiana, red form</v>
      </c>
      <c r="B99" s="18" t="s">
        <v>18</v>
      </c>
      <c r="C99" s="19">
        <v>30</v>
      </c>
    </row>
    <row r="100" spans="1:3" ht="15">
      <c r="A100" s="16" t="str">
        <f>HYPERLINK("https://photos.app.goo.gl/KsPUFWmkPnH8aBTZA","C. / Guarianthe skinneri 'Heiti Jacobs'")</f>
        <v>C. / Guarianthe skinneri 'Heiti Jacobs'</v>
      </c>
      <c r="B100" s="18" t="s">
        <v>18</v>
      </c>
      <c r="C100" s="19">
        <v>35</v>
      </c>
    </row>
    <row r="101" spans="1:3" ht="15">
      <c r="A101" s="16" t="str">
        <f>HYPERLINK("https://c1.staticflickr.com/7/6052/6240623887_e7b54e8200_b.jpg","Catasetum pileatum 'Jumbo Green Gold'")</f>
        <v>Catasetum pileatum 'Jumbo Green Gold'</v>
      </c>
      <c r="B101" s="18" t="s">
        <v>18</v>
      </c>
      <c r="C101" s="19">
        <v>30</v>
      </c>
    </row>
    <row r="102" spans="1:3" ht="15">
      <c r="A102" s="16" t="str">
        <f>HYPERLINK("http://bluenanta.com/static/utils/images/species/spc_000180896_000035574.jpg","Catasetum pileatum f. alba")</f>
        <v>Catasetum pileatum f. alba</v>
      </c>
      <c r="B102" s="18" t="s">
        <v>30</v>
      </c>
      <c r="C102" s="19">
        <v>25</v>
      </c>
    </row>
    <row r="103" spans="1:3" ht="15">
      <c r="A103" s="16" t="str">
        <f>HYPERLINK("http://www.orchid.url.tw/myflowers/cattleya/cattleyaamethystoglossa26.jpg","Cattleya amethystoglossa")</f>
        <v>Cattleya amethystoglossa</v>
      </c>
      <c r="B103" s="18" t="s">
        <v>18</v>
      </c>
      <c r="C103" s="19">
        <v>25</v>
      </c>
    </row>
    <row r="104" spans="1:3" ht="15">
      <c r="A104" s="16" t="str">
        <f>HYPERLINK("https://photos.app.goo.gl/97qQ471GhVHB7PdF8","Cattleya dolosa f. alba 'Gorgeous'")</f>
        <v>Cattleya dolosa f. alba 'Gorgeous'</v>
      </c>
      <c r="B104" s="18" t="s">
        <v>18</v>
      </c>
      <c r="C104" s="19">
        <v>20</v>
      </c>
    </row>
    <row r="105" spans="1:3" ht="15">
      <c r="A105" s="16" t="str">
        <f>HYPERLINK("https://photos.app.goo.gl/xMqYU8XthNRcWknN9","Cattleya forbesii")</f>
        <v>Cattleya forbesii</v>
      </c>
      <c r="B105" s="18" t="s">
        <v>18</v>
      </c>
      <c r="C105" s="19">
        <v>30</v>
      </c>
    </row>
    <row r="106" spans="1:3" ht="15">
      <c r="A106" s="16" t="str">
        <f>HYPERLINK("http://www.orchid.url.tw/myflowers/cattleya/cattleyaguttata2.jpg","Cattleya guttata")</f>
        <v>Cattleya guttata</v>
      </c>
      <c r="B106" s="18" t="s">
        <v>18</v>
      </c>
      <c r="C106" s="19">
        <v>30</v>
      </c>
    </row>
    <row r="107" spans="1:3" ht="15">
      <c r="A107" s="16" t="str">
        <f>HYPERLINK("https://photos.app.goo.gl/ts5JKAHeuwjhucKn7","Cattleya intermedia aquinii, red form")</f>
        <v>Cattleya intermedia aquinii, red form</v>
      </c>
      <c r="B107" s="18" t="s">
        <v>18</v>
      </c>
      <c r="C107" s="19">
        <v>30</v>
      </c>
    </row>
    <row r="108" spans="1:3" ht="15">
      <c r="A108" s="16" t="str">
        <f>HYPERLINK("https://photos.app.goo.gl/ktZLUJ1ryH2myDV59","Cattleya jenmanii f. coerulea")</f>
        <v>Cattleya jenmanii f. coerulea</v>
      </c>
      <c r="B108" s="18" t="s">
        <v>18</v>
      </c>
      <c r="C108" s="19">
        <v>25</v>
      </c>
    </row>
    <row r="109" spans="1:3" ht="15">
      <c r="A109" s="16" t="str">
        <f>HYPERLINK("http://www.orchid.url.tw/myflowers/cattleya/cattleyalabiata90.jpg","Cattleya labiata f. coerulea")</f>
        <v>Cattleya labiata f. coerulea</v>
      </c>
      <c r="B109" s="18" t="s">
        <v>18</v>
      </c>
      <c r="C109" s="19">
        <v>30</v>
      </c>
    </row>
    <row r="110" spans="1:3" ht="15">
      <c r="A110" s="16" t="str">
        <f>HYPERLINK("https://photos.app.goo.gl/4gMeauYS8aP1mjbM8","Cattleya lueddemanniana (f. alba x 'Richfield')")</f>
        <v>Cattleya lueddemanniana (f. alba x 'Richfield')</v>
      </c>
      <c r="B110" s="18" t="s">
        <v>18</v>
      </c>
      <c r="C110" s="19">
        <v>35</v>
      </c>
    </row>
    <row r="111" spans="1:3" ht="15">
      <c r="A111" s="16" t="str">
        <f>HYPERLINK("http://www.orchid.url.tw/myflowers/cattleya/cattleyamaxima45.jpg","Cattleya maxima f. alba")</f>
        <v>Cattleya maxima f. alba</v>
      </c>
      <c r="B111" s="18" t="s">
        <v>18</v>
      </c>
      <c r="C111" s="19">
        <v>25</v>
      </c>
    </row>
    <row r="112" spans="1:3" ht="15">
      <c r="A112" s="16" t="str">
        <f>HYPERLINK("http://www.orchid.url.tw/myflowers/cattleya/cattleyamaxima44.jpg","Cattleya maxima f. semialba")</f>
        <v>Cattleya maxima f. semialba</v>
      </c>
      <c r="B112" s="18" t="s">
        <v>18</v>
      </c>
      <c r="C112" s="19">
        <v>30</v>
      </c>
    </row>
    <row r="113" spans="1:3" ht="15">
      <c r="A113" s="16" t="str">
        <f>HYPERLINK("https://photos.app.goo.gl/GbXmYzryoPVBRpWc9","Cattleya nobilior f. coerulea 'Luar do Sertão' x 'Wisteria'")</f>
        <v>Cattleya nobilior f. coerulea 'Luar do Sertão' x 'Wisteria'</v>
      </c>
      <c r="B113" s="18" t="s">
        <v>18</v>
      </c>
      <c r="C113" s="19">
        <v>30</v>
      </c>
    </row>
    <row r="114" spans="1:3" ht="15">
      <c r="A114" s="16" t="str">
        <f>HYPERLINK("http://www.orchid.url.tw/myflowers/cattleya/cattleyaporphyroglossa5.jpg","Cattleya porphyroglossa")</f>
        <v>Cattleya porphyroglossa</v>
      </c>
      <c r="B114" s="18" t="s">
        <v>18</v>
      </c>
      <c r="C114" s="19">
        <v>25</v>
      </c>
    </row>
    <row r="115" spans="1:3" ht="15">
      <c r="A115" s="16" t="str">
        <f>HYPERLINK("https://photos.app.goo.gl/bV1tRXBnBQ2uvXNM8","Cattleya schilleriana")</f>
        <v>Cattleya schilleriana</v>
      </c>
      <c r="B115" s="18" t="s">
        <v>18</v>
      </c>
      <c r="C115" s="19">
        <v>30</v>
      </c>
    </row>
    <row r="116" spans="1:3" ht="15">
      <c r="A116" s="16" t="str">
        <f>HYPERLINK("https://photos.app.goo.gl/ZcnAXM4UkXFkWVFQ6","Cattleya violacea 'Muse'")</f>
        <v>Cattleya violacea 'Muse'</v>
      </c>
      <c r="B116" s="18" t="s">
        <v>18</v>
      </c>
      <c r="C116" s="19">
        <v>30</v>
      </c>
    </row>
    <row r="117" spans="1:3" ht="15">
      <c r="A117" s="16" t="str">
        <f>HYPERLINK("http://www.orchid.url.tw/myflowers/cattleya/cattleyaviolacea86.jpg","Cattleya violacea f. coerulea")</f>
        <v>Cattleya violacea f. coerulea</v>
      </c>
      <c r="B117" s="18" t="s">
        <v>18</v>
      </c>
      <c r="C117" s="19">
        <v>50</v>
      </c>
    </row>
    <row r="118" spans="1:3" ht="15">
      <c r="A118" s="16" t="str">
        <f>HYPERLINK("http://www.orchid.url.tw/myflowers/cattleya/cattleyawalkerianavaralba262.jpg","Cattleya walkeriana")</f>
        <v>Cattleya walkeriana</v>
      </c>
      <c r="B118" s="18" t="s">
        <v>18</v>
      </c>
      <c r="C118" s="19">
        <v>30</v>
      </c>
    </row>
    <row r="119" spans="1:3" ht="15">
      <c r="A119" s="26" t="str">
        <f>HYPERLINK("https://tenshinorchids.com/wp-content/uploads/2018/11/c.-walkeriana-coerulea-manhattan-blue.jpg","Cattleya walkeriana f. coerulea ’Manhattan Blue’")</f>
        <v>Cattleya walkeriana f. coerulea ’Manhattan Blue’</v>
      </c>
      <c r="B119" s="18" t="s">
        <v>18</v>
      </c>
      <c r="C119" s="19">
        <v>30</v>
      </c>
    </row>
    <row r="120" spans="1:3" ht="15">
      <c r="A120" s="16" t="str">
        <f>HYPERLINK("https://photos.app.goo.gl/guAufRXSVDYAefq3A","Cattleya walkeriana f. semialba 'Tokyo No. 1 x Puanani'")</f>
        <v>Cattleya walkeriana f. semialba 'Tokyo No. 1 x Puanani'</v>
      </c>
      <c r="B120" s="18" t="s">
        <v>18</v>
      </c>
      <c r="C120" s="19">
        <v>30</v>
      </c>
    </row>
    <row r="121" spans="1:3" ht="15">
      <c r="A121" s="16" t="str">
        <f>HYPERLINK("https://photos.app.goo.gl/MRB1p3JSutNgqumt7","Caularthron bicornutum")</f>
        <v>Caularthron bicornutum</v>
      </c>
      <c r="B121" s="18" t="s">
        <v>18</v>
      </c>
      <c r="C121" s="19">
        <v>30</v>
      </c>
    </row>
    <row r="122" spans="1:3" ht="15">
      <c r="A122" s="16" t="str">
        <f>HYPERLINK("https://photos.app.goo.gl/HZjDuU7erim2f9LL9","Ceratostylis retisquama")</f>
        <v>Ceratostylis retisquama</v>
      </c>
      <c r="B122" s="18" t="s">
        <v>18</v>
      </c>
      <c r="C122" s="19">
        <v>25</v>
      </c>
    </row>
    <row r="123" spans="1:3" ht="15">
      <c r="A123" s="16" t="str">
        <f>HYPERLINK("http://www.orchid.url.tw/myflowers/others/chilochistapusilla.jpg","Chiloschista pusilla")</f>
        <v>Chiloschista pusilla</v>
      </c>
      <c r="B123" s="18" t="s">
        <v>30</v>
      </c>
      <c r="C123" s="19">
        <v>25</v>
      </c>
    </row>
    <row r="124" spans="1:3" ht="15">
      <c r="A124" s="16" t="str">
        <f>HYPERLINK("https://photos.app.goo.gl/y824fzbgwgRC3EGX8","Christensonia vietnamica")</f>
        <v>Christensonia vietnamica</v>
      </c>
      <c r="B124" s="18" t="s">
        <v>18</v>
      </c>
      <c r="C124" s="19">
        <v>25</v>
      </c>
    </row>
    <row r="125" spans="1:3" ht="15">
      <c r="A125" s="16" t="str">
        <f>HYPERLINK("http://www.orchid.url.tw/myflowers/others/chysislimminghei3.jpg","Chysis limminghei")</f>
        <v>Chysis limminghei</v>
      </c>
      <c r="B125" s="18" t="s">
        <v>18</v>
      </c>
      <c r="C125" s="19">
        <v>30</v>
      </c>
    </row>
    <row r="126" spans="1:3" ht="15">
      <c r="A126" s="16" t="str">
        <f>HYPERLINK("http://www.orchid.url.tw/myflowers/others/cleisostomaarietinum.jpg","Cleisostoma arietinum")</f>
        <v>Cleisostoma arietinum</v>
      </c>
      <c r="B126" s="18" t="s">
        <v>18</v>
      </c>
      <c r="C126" s="19">
        <v>20</v>
      </c>
    </row>
    <row r="127" spans="1:3" ht="15">
      <c r="A127" s="16" t="str">
        <f>HYPERLINK("http://www.orchid.url.tw/myflowers/others/coelogynepandurata4.jpg","Coelogyne pandurata")</f>
        <v>Coelogyne pandurata</v>
      </c>
      <c r="B127" s="18" t="s">
        <v>18</v>
      </c>
      <c r="C127" s="19">
        <v>20</v>
      </c>
    </row>
    <row r="128" spans="1:3" ht="15">
      <c r="A128" s="16" t="str">
        <f>HYPERLINK("https://photos.app.goo.gl/ebDw6XaDYMrEwFSm8","Coelogyne rochussenii")</f>
        <v>Coelogyne rochussenii</v>
      </c>
      <c r="B128" s="18" t="s">
        <v>18</v>
      </c>
      <c r="C128" s="19">
        <v>20</v>
      </c>
    </row>
    <row r="129" spans="1:3" ht="15">
      <c r="A129" s="16" t="str">
        <f>HYPERLINK("http://www.orchidspecies.com/orphotdir/coryboyi.jpg","Coryanthes boyi")</f>
        <v>Coryanthes boyi</v>
      </c>
      <c r="B129" s="18" t="s">
        <v>30</v>
      </c>
      <c r="C129" s="19">
        <v>30</v>
      </c>
    </row>
    <row r="130" spans="1:3" ht="15">
      <c r="A130" s="16" t="str">
        <f>HYPERLINK("https://photos.app.goo.gl/J5UfJhxLUYaL8Q1X9","Cycnoches warscewiczii")</f>
        <v>Cycnoches warscewiczii</v>
      </c>
      <c r="B130" s="18" t="s">
        <v>18</v>
      </c>
      <c r="C130" s="19">
        <v>25</v>
      </c>
    </row>
    <row r="131" spans="1:3" ht="15">
      <c r="A131" s="16" t="str">
        <f>HYPERLINK("https://photos.app.goo.gl/mitamvZWnXYUc1pf8","Cymbidium aloifolium")</f>
        <v>Cymbidium aloifolium</v>
      </c>
      <c r="B131" s="18" t="s">
        <v>18</v>
      </c>
      <c r="C131" s="19">
        <v>30</v>
      </c>
    </row>
    <row r="132" spans="1:3" ht="16">
      <c r="A132" s="27" t="s">
        <v>37</v>
      </c>
      <c r="B132" s="18"/>
      <c r="C132" s="19"/>
    </row>
    <row r="133" spans="1:3" ht="15">
      <c r="A133" s="16" t="str">
        <f>HYPERLINK("http://www.orchid.url.tw/myflowers/others/cymbidiumcanaliculatum3.jpg","Cymbidium canaliculatum")</f>
        <v>Cymbidium canaliculatum</v>
      </c>
      <c r="B133" s="18" t="s">
        <v>30</v>
      </c>
      <c r="C133" s="19">
        <v>30</v>
      </c>
    </row>
    <row r="134" spans="1:3" ht="15">
      <c r="A134" s="16" t="str">
        <f>HYPERLINK("http://bluenanta.com/static/utils/images/species/spc_000005642_000003778.jpg","Cymbidium finlaysonianum")</f>
        <v>Cymbidium finlaysonianum</v>
      </c>
      <c r="B134" s="18" t="s">
        <v>18</v>
      </c>
      <c r="C134" s="19">
        <v>30</v>
      </c>
    </row>
    <row r="135" spans="1:3" ht="15">
      <c r="A135" s="16" t="str">
        <f>HYPERLINK("http://www.orchid.url.tw/myflowers/others/cyrtopodiumandersonii.jpg","Cyrtopodium andersonii")</f>
        <v>Cyrtopodium andersonii</v>
      </c>
      <c r="B135" s="18" t="s">
        <v>18</v>
      </c>
      <c r="C135" s="19">
        <v>30</v>
      </c>
    </row>
    <row r="136" spans="1:3" ht="15">
      <c r="A136" s="16" t="str">
        <f>HYPERLINK("https://photos.app.goo.gl/UuiQGdGnnx6e2fge6","Dendrobium aggregatum")</f>
        <v>Dendrobium aggregatum</v>
      </c>
      <c r="B136" s="18" t="s">
        <v>18</v>
      </c>
      <c r="C136" s="19">
        <v>20</v>
      </c>
    </row>
    <row r="137" spans="1:3" ht="15">
      <c r="A137" s="16" t="str">
        <f>HYPERLINK("https://photos.app.goo.gl/BsdQ3gPPzKmLCJtN6","Dendrobium albosanguineum")</f>
        <v>Dendrobium albosanguineum</v>
      </c>
      <c r="B137" s="18" t="s">
        <v>18</v>
      </c>
      <c r="C137" s="19">
        <v>25</v>
      </c>
    </row>
    <row r="138" spans="1:3" ht="15">
      <c r="A138" s="16" t="str">
        <f>HYPERLINK("https://photos.app.goo.gl/oYy1V7h6nW8atgFZ9","Dendrobium amabile")</f>
        <v>Dendrobium amabile</v>
      </c>
      <c r="B138" s="18" t="s">
        <v>18</v>
      </c>
      <c r="C138" s="19">
        <v>25</v>
      </c>
    </row>
    <row r="139" spans="1:3" ht="15">
      <c r="A139" s="16" t="str">
        <f>HYPERLINK("https://photos.app.goo.gl/n7H466rjNJ1yiHaHA","Dendrobium amethystoglossum")</f>
        <v>Dendrobium amethystoglossum</v>
      </c>
      <c r="B139" s="18" t="s">
        <v>18</v>
      </c>
      <c r="C139" s="19">
        <v>25</v>
      </c>
    </row>
    <row r="140" spans="1:3" ht="15">
      <c r="A140" s="16" t="str">
        <f>HYPERLINK("https://photos.app.goo.gl/sdLwdSHconn4VkW26","Dendrobium anosmum f. semialba")</f>
        <v>Dendrobium anosmum f. semialba</v>
      </c>
      <c r="B140" s="18" t="s">
        <v>18</v>
      </c>
      <c r="C140" s="19">
        <v>35</v>
      </c>
    </row>
    <row r="141" spans="1:3" ht="15">
      <c r="A141" s="16" t="str">
        <f>HYPERLINK("https://photos.app.goo.gl/MnvQcJswHk3L9NTq8","Dendrobium anosmum, variegated")</f>
        <v>Dendrobium anosmum, variegated</v>
      </c>
      <c r="B141" s="18" t="s">
        <v>18</v>
      </c>
      <c r="C141" s="19">
        <v>25</v>
      </c>
    </row>
    <row r="142" spans="1:3" ht="15">
      <c r="A142" s="16" t="str">
        <f>HYPERLINK("https://photos.app.goo.gl/DKGRxEZ5d7oojZsL7","Dendrobium aphrodite")</f>
        <v>Dendrobium aphrodite</v>
      </c>
      <c r="B142" s="18" t="s">
        <v>18</v>
      </c>
      <c r="C142" s="19">
        <v>35</v>
      </c>
    </row>
    <row r="143" spans="1:3" ht="15">
      <c r="A143" s="16" t="str">
        <f>HYPERLINK("https://photos.app.goo.gl/1EckRhvGsc7Yy5wC7","Dendrobium aphanochilum, white flower")</f>
        <v>Dendrobium aphanochilum, white flower</v>
      </c>
      <c r="B143" s="18" t="s">
        <v>18</v>
      </c>
      <c r="C143" s="19">
        <v>25</v>
      </c>
    </row>
    <row r="144" spans="1:3" ht="15">
      <c r="A144" s="16" t="str">
        <f>HYPERLINK("https://photos.app.goo.gl/bLEiDpSfgosv6cXG9","Dendrobium aphyllum, variegated")</f>
        <v>Dendrobium aphyllum, variegated</v>
      </c>
      <c r="B144" s="18" t="s">
        <v>18</v>
      </c>
      <c r="C144" s="19">
        <v>25</v>
      </c>
    </row>
    <row r="145" spans="1:3" ht="15">
      <c r="A145" s="16" t="str">
        <f>HYPERLINK("https://photos.app.goo.gl/joPt2ootGJzZrYjMA","Dendrobium auriculatum")</f>
        <v>Dendrobium auriculatum</v>
      </c>
      <c r="B145" s="18" t="s">
        <v>18</v>
      </c>
      <c r="C145" s="19">
        <v>25</v>
      </c>
    </row>
    <row r="146" spans="1:3" ht="15">
      <c r="A146" s="16" t="str">
        <f>HYPERLINK("https://photos.app.goo.gl/XcNUW5Fa79GFpVqF6","Dendrobium bicaudatum f. alba")</f>
        <v>Dendrobium bicaudatum f. alba</v>
      </c>
      <c r="B146" s="18" t="s">
        <v>18</v>
      </c>
      <c r="C146" s="19">
        <v>30</v>
      </c>
    </row>
    <row r="147" spans="1:3" ht="15">
      <c r="A147" s="16" t="str">
        <f>HYPERLINK("https://photos.app.goo.gl/EDWgn7mPUtmcBgEb6","Dendrobium bigibbum var. compactum")</f>
        <v>Dendrobium bigibbum var. compactum</v>
      </c>
      <c r="B147" s="18" t="s">
        <v>20</v>
      </c>
      <c r="C147" s="19">
        <v>25</v>
      </c>
    </row>
    <row r="148" spans="1:3" ht="15">
      <c r="A148" s="16" t="str">
        <f>HYPERLINK("https://photos.app.goo.gl/mbEEubMnJhmhw4pKA","Dendrobium bracteosum f. alba")</f>
        <v>Dendrobium bracteosum f. alba</v>
      </c>
      <c r="B148" s="18" t="s">
        <v>18</v>
      </c>
      <c r="C148" s="19">
        <v>25</v>
      </c>
    </row>
    <row r="149" spans="1:3" ht="15">
      <c r="A149" s="16" t="str">
        <f>HYPERLINK("https://photos.app.goo.gl/ZMnrqeeTooQVqa7SA","Dendrobium bracteosum var. tannii / Den. detiolatum")</f>
        <v>Dendrobium bracteosum var. tannii / Den. detiolatum</v>
      </c>
      <c r="B149" s="18" t="s">
        <v>18</v>
      </c>
      <c r="C149" s="19">
        <v>25</v>
      </c>
    </row>
    <row r="150" spans="1:3" ht="15">
      <c r="A150" s="16" t="str">
        <f>HYPERLINK("http://www.orchid.url.tw/myflowers/dendrobium/brymerianum.jpg","Dendrobium brymerianum")</f>
        <v>Dendrobium brymerianum</v>
      </c>
      <c r="B150" s="18" t="s">
        <v>18</v>
      </c>
      <c r="C150" s="19">
        <v>30</v>
      </c>
    </row>
    <row r="151" spans="1:3" ht="15">
      <c r="A151" s="16" t="str">
        <f>HYPERLINK("http://www.orchid.url.tw/myflowers/dendrobium/bullenianum5.jpg","Dendrobium bullenianum")</f>
        <v>Dendrobium bullenianum</v>
      </c>
      <c r="B151" s="18" t="s">
        <v>18</v>
      </c>
      <c r="C151" s="19">
        <v>25</v>
      </c>
    </row>
    <row r="152" spans="1:3" ht="15">
      <c r="A152" s="16" t="str">
        <f>HYPERLINK("https://photos.app.goo.gl/t3erWT82wtvuRBgu6","Dendrobium capituliforum")</f>
        <v>Dendrobium capituliforum</v>
      </c>
      <c r="B152" s="18" t="s">
        <v>18</v>
      </c>
      <c r="C152" s="19">
        <v>25</v>
      </c>
    </row>
    <row r="153" spans="1:3" ht="15">
      <c r="A153" s="16" t="str">
        <f>HYPERLINK("https://photos.app.goo.gl/dAVbmZ8yNaznkbyZ7","Dendrobium cerinum")</f>
        <v>Dendrobium cerinum</v>
      </c>
      <c r="B153" s="18" t="s">
        <v>18</v>
      </c>
      <c r="C153" s="19">
        <v>25</v>
      </c>
    </row>
    <row r="154" spans="1:3" ht="15">
      <c r="A154" s="16" t="str">
        <f>HYPERLINK("http://www.orchid.url.tw/myflowers/dendrobium/sp6-1.jpg","Dendrobium chapaense")</f>
        <v>Dendrobium chapaense</v>
      </c>
      <c r="B154" s="18" t="s">
        <v>20</v>
      </c>
      <c r="C154" s="19">
        <v>25</v>
      </c>
    </row>
    <row r="155" spans="1:3" ht="15">
      <c r="A155" s="16" t="str">
        <f>HYPERLINK("http://www.orchidspecies.com/orphotdir/dockchordiformis.jpg","Dendrobium chordiforme")</f>
        <v>Dendrobium chordiforme</v>
      </c>
      <c r="B155" s="18" t="s">
        <v>18</v>
      </c>
      <c r="C155" s="19">
        <v>28</v>
      </c>
    </row>
    <row r="156" spans="1:3" ht="15">
      <c r="A156" s="16" t="str">
        <f>HYPERLINK("https://photos.app.goo.gl/cB4vD777nJtGrnUF6","Dendrobium chrysotoxum")</f>
        <v>Dendrobium chrysotoxum</v>
      </c>
      <c r="B156" s="18" t="s">
        <v>18</v>
      </c>
      <c r="C156" s="19">
        <v>25</v>
      </c>
    </row>
    <row r="157" spans="1:3" ht="15">
      <c r="A157" s="16" t="str">
        <f>HYPERLINK("https://photos.app.goo.gl/kkktdmcRfvzop49w8","Dendrobium cretaceum")</f>
        <v>Dendrobium cretaceum</v>
      </c>
      <c r="B157" s="18" t="s">
        <v>18</v>
      </c>
      <c r="C157" s="19">
        <v>25</v>
      </c>
    </row>
    <row r="158" spans="1:3" ht="15">
      <c r="A158" s="16" t="str">
        <f>HYPERLINK("https://photos.app.goo.gl/87ypTy2dzcDDm5jN6","Dendrobium crocatum")</f>
        <v>Dendrobium crocatum</v>
      </c>
      <c r="B158" s="18" t="s">
        <v>18</v>
      </c>
      <c r="C158" s="19">
        <v>30</v>
      </c>
    </row>
    <row r="159" spans="1:3" ht="15">
      <c r="A159" s="16" t="str">
        <f>HYPERLINK("http://www.orchid.url.tw/myflowers/dendrobium/cucumerinum4.jpg","Dendrobium cucumerinum")</f>
        <v>Dendrobium cucumerinum</v>
      </c>
      <c r="B159" s="18" t="s">
        <v>18</v>
      </c>
      <c r="C159" s="19">
        <v>25</v>
      </c>
    </row>
    <row r="160" spans="1:3" ht="15">
      <c r="A160" s="16" t="str">
        <f>HYPERLINK("http://www.orchid.url.tw/myflowers/dendrobium/cumulatum.jpg","Dendrobium cumulatum, Vietnam type")</f>
        <v>Dendrobium cumulatum, Vietnam type</v>
      </c>
      <c r="B160" s="18" t="s">
        <v>18</v>
      </c>
      <c r="C160" s="19">
        <v>25</v>
      </c>
    </row>
    <row r="161" spans="1:3" ht="15">
      <c r="A161" s="16" t="str">
        <f>HYPERLINK("https://photos.app.goo.gl/MWzYPtBWS2Dh5THv8","Dendrobium draconis")</f>
        <v>Dendrobium draconis</v>
      </c>
      <c r="B161" s="18" t="s">
        <v>18</v>
      </c>
      <c r="C161" s="19">
        <v>25</v>
      </c>
    </row>
    <row r="162" spans="1:3" ht="15">
      <c r="A162" s="16" t="str">
        <f>HYPERLINK("http://www.orchid.url.tw/myflowers/dendrobium/equitans2.jpg","Dendrobium equitans")</f>
        <v>Dendrobium equitans</v>
      </c>
      <c r="B162" s="18" t="s">
        <v>18</v>
      </c>
      <c r="C162" s="19">
        <v>25</v>
      </c>
    </row>
    <row r="163" spans="1:3" ht="15">
      <c r="A163" s="16" t="str">
        <f>HYPERLINK("https://photos.app.goo.gl/EvLdGtxdAGnz4MQe6","Dendrobium faciferum")</f>
        <v>Dendrobium faciferum</v>
      </c>
      <c r="B163" s="18" t="s">
        <v>18</v>
      </c>
      <c r="C163" s="19">
        <v>35</v>
      </c>
    </row>
    <row r="164" spans="1:3" ht="15">
      <c r="A164" s="16" t="str">
        <f>HYPERLINK("https://photos.app.goo.gl/LMLC4YRiXPFcL8UN8","Dendrobium farmeri")</f>
        <v>Dendrobium farmeri</v>
      </c>
      <c r="B164" s="18" t="s">
        <v>18</v>
      </c>
      <c r="C164" s="19">
        <v>25</v>
      </c>
    </row>
    <row r="165" spans="1:3" ht="15">
      <c r="A165" s="16" t="str">
        <f>HYPERLINK("http://www.orchid.url.tw/myflowers/dendrobium/fimbriatum1.jpg","Dendrobium fimbriatum")</f>
        <v>Dendrobium fimbriatum</v>
      </c>
      <c r="B165" s="18" t="s">
        <v>18</v>
      </c>
      <c r="C165" s="19">
        <v>25</v>
      </c>
    </row>
    <row r="166" spans="1:3" ht="15">
      <c r="A166" s="16" t="str">
        <f>HYPERLINK("http://www.orchid.url.tw/myflowers/dendrobium/findlayanum6.jpg","Dendrobium findlayanum")</f>
        <v>Dendrobium findlayanum</v>
      </c>
      <c r="B166" s="18" t="s">
        <v>18</v>
      </c>
      <c r="C166" s="19">
        <v>30</v>
      </c>
    </row>
    <row r="167" spans="1:3" ht="15">
      <c r="A167" s="16" t="str">
        <f>HYPERLINK("https://photos.app.goo.gl/NavEvhohj6C85Z5Z6","Dendrobium formosum")</f>
        <v>Dendrobium formosum</v>
      </c>
      <c r="B167" s="18" t="s">
        <v>18</v>
      </c>
      <c r="C167" s="19">
        <v>30</v>
      </c>
    </row>
    <row r="168" spans="1:3" ht="15">
      <c r="A168" s="16" t="str">
        <f>HYPERLINK("http://www.orchid.url.tw/myflowers/dendrobium/friedericksianum4.jpg","Dendrobium friedricksianum")</f>
        <v>Dendrobium friedricksianum</v>
      </c>
      <c r="B168" s="18" t="s">
        <v>18</v>
      </c>
      <c r="C168" s="19">
        <v>25</v>
      </c>
    </row>
    <row r="169" spans="1:3" ht="15">
      <c r="A169" s="16" t="str">
        <f>HYPERLINK("https://photos.app.goo.gl/bnCs9erdxwqQjBNj8","Dendrobium gerlandianum")</f>
        <v>Dendrobium gerlandianum</v>
      </c>
      <c r="B169" s="18" t="s">
        <v>18</v>
      </c>
      <c r="C169" s="19">
        <v>25</v>
      </c>
    </row>
    <row r="170" spans="1:3" ht="15">
      <c r="A170" s="16" t="str">
        <f>HYPERLINK("https://photos.app.goo.gl/AUMC8e9FPexo8Y7x5","Dendrobium griffithianum")</f>
        <v>Dendrobium griffithianum</v>
      </c>
      <c r="B170" s="18" t="s">
        <v>18</v>
      </c>
      <c r="C170" s="19">
        <v>30</v>
      </c>
    </row>
    <row r="171" spans="1:3" ht="15">
      <c r="A171" s="16" t="str">
        <f>HYPERLINK("http://www.orchid.url.tw/myflowers/dendrobium/hancockii3.jpg","Dendrobium hancockii")</f>
        <v>Dendrobium hancockii</v>
      </c>
      <c r="B171" s="18" t="s">
        <v>18</v>
      </c>
      <c r="C171" s="19">
        <v>25</v>
      </c>
    </row>
    <row r="172" spans="1:3" ht="15">
      <c r="A172" s="16" t="str">
        <f>HYPERLINK("https://photos.app.goo.gl/HnVoxXKTmVpkH6YA6","Dendrobium harveyanum")</f>
        <v>Dendrobium harveyanum</v>
      </c>
      <c r="B172" s="18" t="s">
        <v>18</v>
      </c>
      <c r="C172" s="19">
        <v>30</v>
      </c>
    </row>
    <row r="173" spans="1:3" ht="15">
      <c r="A173" s="16" t="str">
        <f>HYPERLINK("https://photos.app.goo.gl/DqM7XdfxmffD1bwo7","Dendrobium hercoglossum")</f>
        <v>Dendrobium hercoglossum</v>
      </c>
      <c r="B173" s="18" t="s">
        <v>18</v>
      </c>
      <c r="C173" s="19">
        <v>25</v>
      </c>
    </row>
    <row r="174" spans="1:3" ht="15">
      <c r="A174" s="16" t="str">
        <f>HYPERLINK("https://photos.app.goo.gl/2KWorHfgAA4jozQBA","Dendrobium hymenanthum")</f>
        <v>Dendrobium hymenanthum</v>
      </c>
      <c r="B174" s="18" t="s">
        <v>18</v>
      </c>
      <c r="C174" s="19">
        <v>20</v>
      </c>
    </row>
    <row r="175" spans="1:3" ht="15">
      <c r="A175" s="16" t="str">
        <f>HYPERLINK("https://photos.app.goo.gl/1egFrq6EJDBiZzTV9","Dendrobium jiewhoei")</f>
        <v>Dendrobium jiewhoei</v>
      </c>
      <c r="B175" s="18" t="s">
        <v>18</v>
      </c>
      <c r="C175" s="19">
        <v>30</v>
      </c>
    </row>
    <row r="176" spans="1:3" ht="15">
      <c r="A176" s="16" t="str">
        <f>HYPERLINK("https://tenshinorchids.com/wp-content/uploads/2018/11/Den.-jyrdii.jpg","Dendrobium jyrdii, new sp. section Distichophyllae from Palawan")</f>
        <v>Dendrobium jyrdii, new sp. section Distichophyllae from Palawan</v>
      </c>
      <c r="B176" s="18" t="s">
        <v>20</v>
      </c>
      <c r="C176" s="19">
        <v>30</v>
      </c>
    </row>
    <row r="177" spans="1:3" ht="15">
      <c r="A177" s="16" t="str">
        <f>HYPERLINK("http://www.orchid.url.tw/myflowers/dendrobium/keithii2.jpg","Dendrobium keithii")</f>
        <v>Dendrobium keithii</v>
      </c>
      <c r="B177" s="18" t="s">
        <v>18</v>
      </c>
      <c r="C177" s="19">
        <v>25</v>
      </c>
    </row>
    <row r="178" spans="1:3" ht="15">
      <c r="A178" s="16" t="str">
        <f>HYPERLINK("https://photos.app.goo.gl/KvYEyGbR92CwbpcC6","Dendrobium kingianum")</f>
        <v>Dendrobium kingianum</v>
      </c>
      <c r="B178" s="18" t="s">
        <v>18</v>
      </c>
      <c r="C178" s="19">
        <v>25</v>
      </c>
    </row>
    <row r="179" spans="1:3" ht="15">
      <c r="A179" s="16" t="str">
        <f>HYPERLINK("https://photos.app.goo.gl/KgD9E5RnVnBF5f5M8","Dendrobium lamellatum")</f>
        <v>Dendrobium lamellatum</v>
      </c>
      <c r="B179" s="18" t="s">
        <v>18</v>
      </c>
      <c r="C179" s="19">
        <v>25</v>
      </c>
    </row>
    <row r="180" spans="1:3" ht="15">
      <c r="A180" s="16" t="str">
        <f>HYPERLINK("http://www.orchidspecies.com/orphotdir/dockrillinguiforme.jpg","Dendrobium linguiforme")</f>
        <v>Dendrobium linguiforme</v>
      </c>
      <c r="B180" s="18" t="s">
        <v>18</v>
      </c>
      <c r="C180" s="19">
        <v>25</v>
      </c>
    </row>
    <row r="181" spans="1:3" ht="15">
      <c r="A181" s="16" t="str">
        <f>HYPERLINK("https://photos.app.goo.gl/HZhoAjwm1Ar3WxY77","Dendrobium loddigesii")</f>
        <v>Dendrobium loddigesii</v>
      </c>
      <c r="B181" s="18" t="s">
        <v>18</v>
      </c>
      <c r="C181" s="19">
        <v>20</v>
      </c>
    </row>
    <row r="182" spans="1:3" ht="15">
      <c r="A182" s="16" t="str">
        <f>HYPERLINK("http://www.orchid.url.tw/myflowers/dendrobium/miyakei1.jpg","Dendrobium miyakei / goldschmidtianum")</f>
        <v>Dendrobium miyakei / goldschmidtianum</v>
      </c>
      <c r="B182" s="18" t="s">
        <v>18</v>
      </c>
      <c r="C182" s="19">
        <v>25</v>
      </c>
    </row>
    <row r="183" spans="1:3" ht="15">
      <c r="A183" s="16" t="str">
        <f>HYPERLINK("https://photos.app.goo.gl/8VrLq4e5h2CAbBMD7","Dendrobium moniliforme, Japanese dwarf form")</f>
        <v>Dendrobium moniliforme, Japanese dwarf form</v>
      </c>
      <c r="B183" s="18" t="s">
        <v>18</v>
      </c>
      <c r="C183" s="19">
        <v>25</v>
      </c>
    </row>
    <row r="184" spans="1:3" ht="15">
      <c r="A184" s="16" t="str">
        <f>HYPERLINK("http://www.orchid.url.tw/myflowers/dendrobium/moschatum3.jpg","Dendrobium moschatum")</f>
        <v>Dendrobium moschatum</v>
      </c>
      <c r="B184" s="18" t="s">
        <v>18</v>
      </c>
      <c r="C184" s="19">
        <v>25</v>
      </c>
    </row>
    <row r="185" spans="1:3" ht="15">
      <c r="A185" s="16" t="str">
        <f>HYPERLINK("https://photos.app.goo.gl/JUqzs3NSPnbzXMBr6","Dendrobium munificum")</f>
        <v>Dendrobium munificum</v>
      </c>
      <c r="B185" s="18" t="s">
        <v>18</v>
      </c>
      <c r="C185" s="19">
        <v>60</v>
      </c>
    </row>
    <row r="186" spans="1:3" ht="15">
      <c r="A186" s="16" t="str">
        <f>HYPERLINK("https://photos.app.goo.gl/XF4vGKzPo8VLwWR7A","Dendrobium nemorale")</f>
        <v>Dendrobium nemorale</v>
      </c>
      <c r="B186" s="18" t="s">
        <v>18</v>
      </c>
      <c r="C186" s="19">
        <v>25</v>
      </c>
    </row>
    <row r="187" spans="1:3" ht="15">
      <c r="A187" s="16" t="str">
        <f>HYPERLINK("https://photos.app.goo.gl/8SZHL12xoDat99UC9","Dendrobium nobile")</f>
        <v>Dendrobium nobile</v>
      </c>
      <c r="B187" s="18" t="s">
        <v>18</v>
      </c>
      <c r="C187" s="19">
        <v>25</v>
      </c>
    </row>
    <row r="188" spans="1:3" ht="15">
      <c r="A188" s="16" t="str">
        <f>HYPERLINK("http://www.orchidspecies.com/orphotdir/dennormanbyense.jpg","Dendrobium normanbyense")</f>
        <v>Dendrobium normanbyense</v>
      </c>
      <c r="B188" s="18" t="s">
        <v>20</v>
      </c>
      <c r="C188" s="19">
        <v>25</v>
      </c>
    </row>
    <row r="189" spans="1:3" ht="15">
      <c r="A189" s="16" t="str">
        <f>HYPERLINK("https://photos.app.goo.gl/Qtm6CuzF7soHxxAHA","Dendrobium officinale")</f>
        <v>Dendrobium officinale</v>
      </c>
      <c r="B189" s="18" t="s">
        <v>18</v>
      </c>
      <c r="C189" s="19">
        <v>25</v>
      </c>
    </row>
    <row r="190" spans="1:3" ht="15">
      <c r="A190" s="16" t="str">
        <f>HYPERLINK("https://photos.app.goo.gl/RJeiCf4vcR67szLy7","Dendrobium parishi petaloid form, not peloric")</f>
        <v>Dendrobium parishi petaloid form, not peloric</v>
      </c>
      <c r="B190" s="18" t="s">
        <v>18</v>
      </c>
      <c r="C190" s="19">
        <v>35</v>
      </c>
    </row>
    <row r="191" spans="1:3" ht="15">
      <c r="A191" s="16" t="str">
        <f>HYPERLINK("https://photos.app.goo.gl/wxXJTLJJmoRddwjz6","Dendrobium parishii")</f>
        <v>Dendrobium parishii</v>
      </c>
      <c r="B191" s="18" t="s">
        <v>18</v>
      </c>
      <c r="C191" s="19">
        <v>25</v>
      </c>
    </row>
    <row r="192" spans="1:3" ht="15">
      <c r="A192" s="16" t="str">
        <f>HYPERLINK("https://photos.app.goo.gl/hk2bJnEE7WBh49rM6","Dendrobium parishii f. alba")</f>
        <v>Dendrobium parishii f. alba</v>
      </c>
      <c r="B192" s="18" t="s">
        <v>18</v>
      </c>
      <c r="C192" s="19">
        <v>30</v>
      </c>
    </row>
    <row r="193" spans="1:3" ht="15">
      <c r="A193" s="16" t="str">
        <f>HYPERLINK("https://photos.app.goo.gl/gMJ2Ej89LFz1GF8m6","Dendrobium parishii f. coerulea")</f>
        <v>Dendrobium parishii f. coerulea</v>
      </c>
      <c r="B193" s="18" t="s">
        <v>18</v>
      </c>
      <c r="C193" s="19">
        <v>30</v>
      </c>
    </row>
    <row r="194" spans="1:3" ht="15">
      <c r="A194" s="16" t="str">
        <f>HYPERLINK("https://photos.app.goo.gl/pCm2c7x7X1csYt479","Dendrobium parthenium")</f>
        <v>Dendrobium parthenium</v>
      </c>
      <c r="B194" s="18" t="s">
        <v>18</v>
      </c>
      <c r="C194" s="19">
        <v>25</v>
      </c>
    </row>
    <row r="195" spans="1:3" ht="15">
      <c r="A195" s="16" t="str">
        <f>HYPERLINK("https://photos.app.goo.gl/HW3LsSfhbiipBK2z9","Dendrobium peguanum")</f>
        <v>Dendrobium peguanum</v>
      </c>
      <c r="B195" s="18" t="s">
        <v>20</v>
      </c>
      <c r="C195" s="19">
        <v>20</v>
      </c>
    </row>
    <row r="196" spans="1:3" ht="15">
      <c r="A196" s="16" t="str">
        <f>HYPERLINK("https://photos.app.goo.gl/VKDDacLgszMcAeiq8","Dendrobium pendulum")</f>
        <v>Dendrobium pendulum</v>
      </c>
      <c r="B196" s="18" t="s">
        <v>18</v>
      </c>
      <c r="C196" s="19">
        <v>20</v>
      </c>
    </row>
    <row r="197" spans="1:3" ht="15">
      <c r="A197" s="16" t="str">
        <f>HYPERLINK("https://photos.app.goo.gl/KyqixYzMc6UowDLb9","Dendrobium prenticei")</f>
        <v>Dendrobium prenticei</v>
      </c>
      <c r="B197" s="18" t="s">
        <v>18</v>
      </c>
      <c r="C197" s="19">
        <v>25</v>
      </c>
    </row>
    <row r="198" spans="1:3" ht="15">
      <c r="A198" s="16" t="str">
        <f>HYPERLINK("https://photos.app.goo.gl/y9PZBKH1tZjTJ9Fh9","Dendrobium primulinum")</f>
        <v>Dendrobium primulinum</v>
      </c>
      <c r="B198" s="18" t="s">
        <v>18</v>
      </c>
      <c r="C198" s="19">
        <v>25</v>
      </c>
    </row>
    <row r="199" spans="1:3" ht="15">
      <c r="A199" s="16" t="str">
        <f>HYPERLINK("https://photos.app.goo.gl/mGXcobqitaEC8Fe58","Dendrobium pseudolamellatum")</f>
        <v>Dendrobium pseudolamellatum</v>
      </c>
      <c r="B199" s="18" t="s">
        <v>18</v>
      </c>
      <c r="C199" s="19">
        <v>30</v>
      </c>
    </row>
    <row r="200" spans="1:3" ht="15">
      <c r="A200" s="16" t="str">
        <f>HYPERLINK("https://photos.app.goo.gl/YNFjhoLG9GvcrxZ96","Dendrobium purpureum")</f>
        <v>Dendrobium purpureum</v>
      </c>
      <c r="B200" s="18" t="s">
        <v>18</v>
      </c>
      <c r="C200" s="19">
        <v>30</v>
      </c>
    </row>
    <row r="201" spans="1:3" ht="15">
      <c r="A201" s="16" t="str">
        <f>HYPERLINK("http://www.orchid.url.tw/myflowers/dendrobium/rhodopterygium1.jpg","Dendrobium rhodopterygium f. semialba")</f>
        <v>Dendrobium rhodopterygium f. semialba</v>
      </c>
      <c r="B201" s="18" t="s">
        <v>18</v>
      </c>
      <c r="C201" s="19">
        <v>25</v>
      </c>
    </row>
    <row r="202" spans="1:3" ht="15">
      <c r="A202" s="16" t="str">
        <f>HYPERLINK("http://www.orchid.url.tw/myflowers/dendrobium/rhombeum1.jpg","Dendrobium rhombeum")</f>
        <v>Dendrobium rhombeum</v>
      </c>
      <c r="B202" s="18" t="s">
        <v>18</v>
      </c>
      <c r="C202" s="19">
        <v>25</v>
      </c>
    </row>
    <row r="203" spans="1:3" ht="15">
      <c r="A203" s="16" t="str">
        <f>HYPERLINK("https://photos.app.goo.gl/VyvdqaT29jT5hsxJ7","Dendrobium sanderae var. luzonica")</f>
        <v>Dendrobium sanderae var. luzonica</v>
      </c>
      <c r="B203" s="18" t="s">
        <v>18</v>
      </c>
      <c r="C203" s="19">
        <v>25</v>
      </c>
    </row>
    <row r="204" spans="1:3" ht="15">
      <c r="A204" s="16" t="str">
        <f>HYPERLINK("https://photos.app.goo.gl/e4g4bkD3QH46e4pM8","Dendrobium schrautii")</f>
        <v>Dendrobium schrautii</v>
      </c>
      <c r="B204" s="18" t="s">
        <v>18</v>
      </c>
      <c r="C204" s="19">
        <v>30</v>
      </c>
    </row>
    <row r="205" spans="1:3" ht="15">
      <c r="A205" s="16" t="str">
        <f>HYPERLINK("https://photos.app.goo.gl/K3UAypASxReuruSR7","Dendrobium secundum f. alba")</f>
        <v>Dendrobium secundum f. alba</v>
      </c>
      <c r="B205" s="18" t="s">
        <v>18</v>
      </c>
      <c r="C205" s="19">
        <v>30</v>
      </c>
    </row>
    <row r="206" spans="1:3" ht="15">
      <c r="A206" s="16" t="str">
        <f>HYPERLINK("https://photos.app.goo.gl/2SZSZZLYyxcGcwFk7","Dendrobium senile")</f>
        <v>Dendrobium senile</v>
      </c>
      <c r="B206" s="18" t="s">
        <v>18</v>
      </c>
      <c r="C206" s="19">
        <v>25</v>
      </c>
    </row>
    <row r="207" spans="1:3" ht="15">
      <c r="A207" s="16" t="str">
        <f>HYPERLINK("http://www.orchid.url.tw/myflowers/dendrobium/signatum17.jpg","Dendrobium signatum")</f>
        <v>Dendrobium signatum</v>
      </c>
      <c r="B207" s="18" t="s">
        <v>18</v>
      </c>
      <c r="C207" s="19">
        <v>25</v>
      </c>
    </row>
    <row r="208" spans="1:3" ht="15">
      <c r="A208" s="16" t="str">
        <f>HYPERLINK("https://photos.app.goo.gl/qqR3LcoimwKPzakm7","Dendrobium smillieae")</f>
        <v>Dendrobium smillieae</v>
      </c>
      <c r="B208" s="18" t="s">
        <v>18</v>
      </c>
      <c r="C208" s="19">
        <v>35</v>
      </c>
    </row>
    <row r="209" spans="1:3" ht="15">
      <c r="A209" s="16" t="str">
        <f>HYPERLINK("https://photos.app.goo.gl/311Q8NXZ4ip4nV479","Dendrobium sp. aff. wattii")</f>
        <v>Dendrobium sp. aff. wattii</v>
      </c>
      <c r="B209" s="18" t="s">
        <v>18</v>
      </c>
      <c r="C209" s="19">
        <v>30</v>
      </c>
    </row>
    <row r="210" spans="1:3" ht="15">
      <c r="A210" s="16" t="str">
        <f>HYPERLINK("https://tenshinorchids.com/wp-content/uploads/2018/11/Den.-speciosum-maizuru.jpg","Dendrobium speciosum 'Maizuru' 舞鶴, variegated form (MC)")</f>
        <v>Dendrobium speciosum 'Maizuru' 舞鶴, variegated form (MC)</v>
      </c>
      <c r="B210" s="18" t="s">
        <v>30</v>
      </c>
      <c r="C210" s="19">
        <v>45</v>
      </c>
    </row>
    <row r="211" spans="1:3" ht="15">
      <c r="A211" s="16" t="str">
        <f>HYPERLINK("https://photos.app.goo.gl/Av5wBbgDAp1tNP7S8","Dendrobium spectabile")</f>
        <v>Dendrobium spectabile</v>
      </c>
      <c r="B211" s="18" t="s">
        <v>18</v>
      </c>
      <c r="C211" s="19">
        <v>40</v>
      </c>
    </row>
    <row r="212" spans="1:3" ht="15">
      <c r="A212" s="16" t="str">
        <f>HYPERLINK("https://photos.app.goo.gl/kyMGn5fU1YrkZHnc7","Dendrobium stratiotes")</f>
        <v>Dendrobium stratiotes</v>
      </c>
      <c r="B212" s="18" t="s">
        <v>18</v>
      </c>
      <c r="C212" s="19">
        <v>40</v>
      </c>
    </row>
    <row r="213" spans="1:3" ht="15">
      <c r="A213" s="16" t="str">
        <f>HYPERLINK("https://photos.app.goo.gl/QRLxpydRogXYypbq5","Dendrobium terengganuensis / roslii")</f>
        <v>Dendrobium terengganuensis / roslii</v>
      </c>
      <c r="B213" s="18" t="s">
        <v>18</v>
      </c>
      <c r="C213" s="19">
        <v>35</v>
      </c>
    </row>
    <row r="214" spans="1:3" ht="15">
      <c r="A214" s="16" t="str">
        <f>HYPERLINK("http://www.orchid.url.tw/myflowers/dendrobium/teretifolium3.jpg","Dendrobium teretifolium")</f>
        <v>Dendrobium teretifolium</v>
      </c>
      <c r="B214" s="18" t="s">
        <v>18</v>
      </c>
      <c r="C214" s="19">
        <v>30</v>
      </c>
    </row>
    <row r="215" spans="1:3" ht="15">
      <c r="A215" s="16" t="str">
        <f>HYPERLINK("https://photos.app.goo.gl/YmeLtxy92W5fzQWHA","Dendrobium tetragonum")</f>
        <v>Dendrobium tetragonum</v>
      </c>
      <c r="B215" s="18" t="s">
        <v>18</v>
      </c>
      <c r="C215" s="19">
        <v>25</v>
      </c>
    </row>
    <row r="216" spans="1:3" ht="15">
      <c r="A216" s="16" t="str">
        <f>HYPERLINK("https://photos.app.goo.gl/bReBAv26nXpjSPWV8","Dendrobium tetragonum f. alba")</f>
        <v>Dendrobium tetragonum f. alba</v>
      </c>
      <c r="B216" s="18" t="s">
        <v>18</v>
      </c>
      <c r="C216" s="19">
        <v>30</v>
      </c>
    </row>
    <row r="217" spans="1:3" ht="15">
      <c r="A217" s="16" t="str">
        <f>HYPERLINK("https://photos.app.goo.gl/QGDj3PreEKrV6rmB9","Dendrobium thyrsiflorum")</f>
        <v>Dendrobium thyrsiflorum</v>
      </c>
      <c r="B217" s="18" t="s">
        <v>18</v>
      </c>
      <c r="C217" s="19">
        <v>25</v>
      </c>
    </row>
    <row r="218" spans="1:3" ht="15">
      <c r="A218" s="16" t="str">
        <f>HYPERLINK("https://photos.app.goo.gl/C3jE3WrjRj7vBJBL6","Dendrobium tortile")</f>
        <v>Dendrobium tortile</v>
      </c>
      <c r="B218" s="18" t="s">
        <v>18</v>
      </c>
      <c r="C218" s="19">
        <v>25</v>
      </c>
    </row>
    <row r="219" spans="1:3" ht="15">
      <c r="A219" s="16" t="str">
        <f>HYPERLINK("http://www.orchid.url.tw/myflowers/dendrobium/transparens3.jpg","Dendrobium transparens")</f>
        <v>Dendrobium transparens</v>
      </c>
      <c r="B219" s="18" t="s">
        <v>18</v>
      </c>
      <c r="C219" s="19">
        <v>25</v>
      </c>
    </row>
    <row r="220" spans="1:3" ht="15">
      <c r="A220" s="16" t="str">
        <f>HYPERLINK("https://photos.app.goo.gl/bHVVN687G6w6WChT6","Dendrobium uniflorum")</f>
        <v>Dendrobium uniflorum</v>
      </c>
      <c r="B220" s="18" t="s">
        <v>18</v>
      </c>
      <c r="C220" s="19">
        <v>25</v>
      </c>
    </row>
    <row r="221" spans="1:3" ht="15">
      <c r="A221" s="16" t="str">
        <f>HYPERLINK("http://www.orchid.url.tw/myflowers/dendrobium/wasseilii.jpg","Dendrobium wassellii")</f>
        <v>Dendrobium wassellii</v>
      </c>
      <c r="B221" s="18" t="s">
        <v>18</v>
      </c>
      <c r="C221" s="19">
        <v>25</v>
      </c>
    </row>
    <row r="222" spans="1:3" ht="15">
      <c r="A222" s="16" t="str">
        <f>HYPERLINK("https://photos.app.goo.gl/BNKGaU6SMX4mxWux7","Dendrobium williamsianum")</f>
        <v>Dendrobium williamsianum</v>
      </c>
      <c r="B222" s="18" t="s">
        <v>18</v>
      </c>
      <c r="C222" s="19">
        <v>30</v>
      </c>
    </row>
    <row r="223" spans="1:3" ht="15">
      <c r="A223" s="16" t="str">
        <f>HYPERLINK("https://photos.app.goo.gl/gbQR4m2y5cZmrxnQ8","Dendrobium x usitae 'Red Coral' SM/JOGA x 'Tien'")</f>
        <v>Dendrobium x usitae 'Red Coral' SM/JOGA x 'Tien'</v>
      </c>
      <c r="B223" s="18" t="s">
        <v>18</v>
      </c>
      <c r="C223" s="19">
        <v>25</v>
      </c>
    </row>
    <row r="224" spans="1:3" ht="15">
      <c r="A224" s="16" t="str">
        <f>HYPERLINK("https://www.qos.org.au/uploads/4/1/4/3/41433817/1619019_orig.jpg","Dendrochilum cobbianum")</f>
        <v>Dendrochilum cobbianum</v>
      </c>
      <c r="B224" s="18" t="s">
        <v>18</v>
      </c>
      <c r="C224" s="19">
        <v>30</v>
      </c>
    </row>
    <row r="225" spans="1:3" ht="15">
      <c r="A225" s="16" t="str">
        <f>HYPERLINK("https://photos.app.goo.gl/ZXUKB4xbmUugSd9y8","Dendrochilum formosanum")</f>
        <v>Dendrochilum formosanum</v>
      </c>
      <c r="B225" s="18" t="s">
        <v>18</v>
      </c>
      <c r="C225" s="19">
        <v>30</v>
      </c>
    </row>
    <row r="226" spans="1:3" ht="15">
      <c r="A226" s="16" t="str">
        <f>HYPERLINK("https://photos.app.goo.gl/AfSzKESeLBM384ST7","Dendrochilum latifolium")</f>
        <v>Dendrochilum latifolium</v>
      </c>
      <c r="B226" s="18" t="s">
        <v>18</v>
      </c>
      <c r="C226" s="19">
        <v>25</v>
      </c>
    </row>
    <row r="227" spans="1:3" ht="15">
      <c r="A227" s="16" t="str">
        <f>HYPERLINK("http://www.orchid.url.tw/myflowers/others/epidendrumpolybulbon.jpg","Encyclia / Epidendrum polybulbon")</f>
        <v>Encyclia / Epidendrum polybulbon</v>
      </c>
      <c r="B227" s="18" t="s">
        <v>18</v>
      </c>
      <c r="C227" s="19">
        <v>25</v>
      </c>
    </row>
    <row r="228" spans="1:3" ht="15">
      <c r="A228" s="16" t="str">
        <f>HYPERLINK("https://photos.app.goo.gl/2DsVobdkMUus3EKEA","Encyclia alata")</f>
        <v>Encyclia alata</v>
      </c>
      <c r="B228" s="18" t="s">
        <v>18</v>
      </c>
      <c r="C228" s="19">
        <v>35</v>
      </c>
    </row>
    <row r="229" spans="1:3" ht="15">
      <c r="A229" s="16" t="str">
        <f>HYPERLINK("https://photos.app.goo.gl/cxr7fDqnvNHWxfq16","Encyclia boothiana")</f>
        <v>Encyclia boothiana</v>
      </c>
      <c r="B229" s="18" t="s">
        <v>18</v>
      </c>
      <c r="C229" s="19">
        <v>25</v>
      </c>
    </row>
    <row r="230" spans="1:3" ht="15">
      <c r="A230" s="16" t="str">
        <f>HYPERLINK("https://photos.app.goo.gl/LZ6Hvg7LXGxZST3t5","Encyclia bractescens")</f>
        <v>Encyclia bractescens</v>
      </c>
      <c r="B230" s="18" t="s">
        <v>18</v>
      </c>
      <c r="C230" s="19">
        <v>25</v>
      </c>
    </row>
    <row r="231" spans="1:3" ht="15">
      <c r="A231" s="16" t="str">
        <f>HYPERLINK("https://photos.app.goo.gl/g65ro5gPn6BbRyzw8","Encyclia cochleata")</f>
        <v>Encyclia cochleata</v>
      </c>
      <c r="B231" s="18" t="s">
        <v>18</v>
      </c>
      <c r="C231" s="19">
        <v>25</v>
      </c>
    </row>
    <row r="232" spans="1:3" ht="15">
      <c r="A232" s="16" t="str">
        <f>HYPERLINK("https://photos.app.goo.gl/2bkfJDq79NzSGHi37","Encyclia cordigera")</f>
        <v>Encyclia cordigera</v>
      </c>
      <c r="B232" s="18" t="s">
        <v>18</v>
      </c>
      <c r="C232" s="19">
        <v>25</v>
      </c>
    </row>
    <row r="233" spans="1:3" ht="15">
      <c r="A233" s="16" t="str">
        <f>HYPERLINK("https://photos.app.goo.gl/azfaoMypj4N9HP2F8","Encyclia cordigera f. alba")</f>
        <v>Encyclia cordigera f. alba</v>
      </c>
      <c r="B233" s="18" t="s">
        <v>18</v>
      </c>
      <c r="C233" s="19">
        <v>30</v>
      </c>
    </row>
    <row r="234" spans="1:3" ht="15">
      <c r="A234" s="16" t="str">
        <f>HYPERLINK("https://photos.app.goo.gl/h8Aaurw4Hp4S8JJQ6","Encyclia garciana")</f>
        <v>Encyclia garciana</v>
      </c>
      <c r="B234" s="18" t="s">
        <v>18</v>
      </c>
      <c r="C234" s="19">
        <v>25</v>
      </c>
    </row>
    <row r="235" spans="1:3" ht="15">
      <c r="A235" s="16" t="str">
        <f>HYPERLINK("https://photos.app.goo.gl/iT1JAZgTouEtJ5dk7","Encyclia plicata f. alba")</f>
        <v>Encyclia plicata f. alba</v>
      </c>
      <c r="B235" s="18" t="s">
        <v>18</v>
      </c>
      <c r="C235" s="19">
        <v>30</v>
      </c>
    </row>
    <row r="236" spans="1:3" ht="15">
      <c r="A236" s="16" t="str">
        <f>HYPERLINK("https://photos.app.goo.gl/y7gtDaJt2JvxFYa2A","Encyclia prismatocarpa")</f>
        <v>Encyclia prismatocarpa</v>
      </c>
      <c r="B236" s="18" t="s">
        <v>18</v>
      </c>
      <c r="C236" s="19">
        <v>30</v>
      </c>
    </row>
    <row r="237" spans="1:3" ht="15">
      <c r="A237" s="16" t="str">
        <f>HYPERLINK("https://photos.app.goo.gl/p2wZnBmqcsp5bN1FA","Encyclia radiata")</f>
        <v>Encyclia radiata</v>
      </c>
      <c r="B237" s="18" t="s">
        <v>18</v>
      </c>
      <c r="C237" s="19">
        <v>25</v>
      </c>
    </row>
    <row r="238" spans="1:3" ht="15">
      <c r="A238" s="16" t="str">
        <f>HYPERLINK("https://photos.app.goo.gl/UEj8Lwu1BvKiZEBf7","Encyclia randii")</f>
        <v>Encyclia randii</v>
      </c>
      <c r="B238" s="18" t="s">
        <v>18</v>
      </c>
      <c r="C238" s="19">
        <v>25</v>
      </c>
    </row>
    <row r="239" spans="1:3" ht="15">
      <c r="A239" s="16" t="str">
        <f>HYPERLINK("https://photos.app.goo.gl/RtAdb57fkG3M6tecA","Encyclia tampensis f. alba")</f>
        <v>Encyclia tampensis f. alba</v>
      </c>
      <c r="B239" s="18" t="s">
        <v>18</v>
      </c>
      <c r="C239" s="19">
        <v>25</v>
      </c>
    </row>
    <row r="240" spans="1:3" ht="15">
      <c r="A240" s="16" t="str">
        <f>HYPERLINK("http://www.orchid.url.tw/myflowers/others/epidendrumcoriifolium1.jpg","Epidendrum coriifolium")</f>
        <v>Epidendrum coriifolium</v>
      </c>
      <c r="B240" s="18" t="s">
        <v>18</v>
      </c>
      <c r="C240" s="19">
        <v>25</v>
      </c>
    </row>
    <row r="241" spans="1:3" ht="15">
      <c r="A241" s="16" t="str">
        <f>HYPERLINK("https://photos.app.goo.gl/w92Md8RcKACVWtkD7","Epidendrum difforme")</f>
        <v>Epidendrum difforme</v>
      </c>
      <c r="B241" s="18" t="s">
        <v>18</v>
      </c>
      <c r="C241" s="19">
        <v>25</v>
      </c>
    </row>
    <row r="242" spans="1:3" ht="15">
      <c r="A242" s="16" t="str">
        <f>HYPERLINK("http://www.orchid.url.tw/myflowers/others/epidendrumnocturnum1.jpg","Epidendrum nocturnum")</f>
        <v>Epidendrum nocturnum</v>
      </c>
      <c r="B242" s="18" t="s">
        <v>18</v>
      </c>
      <c r="C242" s="19">
        <v>25</v>
      </c>
    </row>
    <row r="243" spans="1:3" ht="15">
      <c r="A243" s="16" t="str">
        <f>HYPERLINK("https://photos.app.goo.gl/LNehReLaUkG2R7K47","Epidendrum porpax")</f>
        <v>Epidendrum porpax</v>
      </c>
      <c r="B243" s="18" t="s">
        <v>18</v>
      </c>
      <c r="C243" s="19">
        <v>20</v>
      </c>
    </row>
    <row r="244" spans="1:3" ht="15">
      <c r="A244" s="16" t="str">
        <f>HYPERLINK("http://www.orchid.url.tw/myflowers/others/epidendrumrigidum1.jpg","Epidendrum rigidum")</f>
        <v>Epidendrum rigidum</v>
      </c>
      <c r="B244" s="18" t="s">
        <v>18</v>
      </c>
      <c r="C244" s="19">
        <v>25</v>
      </c>
    </row>
    <row r="245" spans="1:3" ht="15">
      <c r="A245" s="16" t="str">
        <f>HYPERLINK("https://photos.app.goo.gl/vxarewyRRNzWv2Xi8","Epidendrum stamfordianum")</f>
        <v>Epidendrum stamfordianum</v>
      </c>
      <c r="B245" s="18" t="s">
        <v>18</v>
      </c>
      <c r="C245" s="19">
        <v>25</v>
      </c>
    </row>
    <row r="246" spans="1:3" ht="15">
      <c r="A246" s="16" t="str">
        <f>HYPERLINK("https://photos.app.goo.gl/enMySPyBhdJzwhyW8","Galeandra baueri")</f>
        <v>Galeandra baueri</v>
      </c>
      <c r="B246" s="18" t="s">
        <v>18</v>
      </c>
      <c r="C246" s="19">
        <v>25</v>
      </c>
    </row>
    <row r="247" spans="1:3" ht="15">
      <c r="A247" s="16" t="str">
        <f>HYPERLINK("https://photos.app.goo.gl/jwgCpQSA8tLUG8XP7","Gastrochilus obliquus")</f>
        <v>Gastrochilus obliquus</v>
      </c>
      <c r="B247" s="18" t="s">
        <v>18</v>
      </c>
      <c r="C247" s="19">
        <v>20</v>
      </c>
    </row>
    <row r="248" spans="1:3" ht="15">
      <c r="A248" s="16" t="str">
        <f>HYPERLINK("https://tenshinorchids.com/wp-content/uploads/2018/11/gram-ellisii-alba.jpg","Grammangis ellisii f. alba")</f>
        <v>Grammangis ellisii f. alba</v>
      </c>
      <c r="B248" s="18" t="s">
        <v>18</v>
      </c>
      <c r="C248" s="19">
        <v>30</v>
      </c>
    </row>
    <row r="249" spans="1:3" ht="15">
      <c r="A249" s="16" t="str">
        <f>HYPERLINK("https://photos.app.goo.gl/YVZpbVLJ89gc7riLA","Graphorkis concolor var. alphabetica")</f>
        <v>Graphorkis concolor var. alphabetica</v>
      </c>
      <c r="B249" s="18" t="s">
        <v>18</v>
      </c>
      <c r="C249" s="19">
        <v>30</v>
      </c>
    </row>
    <row r="250" spans="1:3" ht="15">
      <c r="A250" s="16" t="str">
        <f>HYPERLINK("https://photos.app.goo.gl/YwQT9WEYMbukwfz2A","Haraella retrocalla")</f>
        <v>Haraella retrocalla</v>
      </c>
      <c r="B250" s="18" t="s">
        <v>18</v>
      </c>
      <c r="C250" s="19">
        <v>15</v>
      </c>
    </row>
    <row r="251" spans="1:3" ht="15">
      <c r="A251" s="16" t="str">
        <f>HYPERLINK("https://photos.app.goo.gl/5bJ6QtHZh1BqXXTB9","Haraella retrocalla, peloric form")</f>
        <v>Haraella retrocalla, peloric form</v>
      </c>
      <c r="B251" s="18" t="s">
        <v>18</v>
      </c>
      <c r="C251" s="19">
        <v>20</v>
      </c>
    </row>
    <row r="252" spans="1:3" ht="15">
      <c r="A252" s="16" t="str">
        <f>HYPERLINK("https://photos.app.goo.gl/uUZbjrbX47BNFrCk8","Laelia anceps f. semialba")</f>
        <v>Laelia anceps f. semialba</v>
      </c>
      <c r="B252" s="18" t="s">
        <v>18</v>
      </c>
      <c r="C252" s="19">
        <v>50</v>
      </c>
    </row>
    <row r="253" spans="1:3" ht="15">
      <c r="A253" s="16" t="str">
        <f>HYPERLINK("https://photos.app.goo.gl/khez8yPQ1McbUzRAA","Laelia dayana / C. bicalhoi")</f>
        <v>Laelia dayana / C. bicalhoi</v>
      </c>
      <c r="B253" s="18" t="s">
        <v>18</v>
      </c>
      <c r="C253" s="19">
        <v>25</v>
      </c>
    </row>
    <row r="254" spans="1:3" ht="15">
      <c r="A254" s="16" t="str">
        <f>HYPERLINK("https://photos.app.goo.gl/MDj5N9pU3wsT78KE8","Laelia jongheana")</f>
        <v>Laelia jongheana</v>
      </c>
      <c r="B254" s="18" t="s">
        <v>18</v>
      </c>
      <c r="C254" s="19">
        <v>50</v>
      </c>
    </row>
    <row r="255" spans="1:3" ht="15">
      <c r="A255" s="16" t="str">
        <f>HYPERLINK("http://www.orchid.url.tw/myflowers/cattleya/laeliaperrinii7.jpg","Laelia perrinii")</f>
        <v>Laelia perrinii</v>
      </c>
      <c r="B255" s="18" t="s">
        <v>18</v>
      </c>
      <c r="C255" s="19">
        <v>25</v>
      </c>
    </row>
    <row r="256" spans="1:3" ht="15">
      <c r="A256" s="16" t="str">
        <f>HYPERLINK("http://www.orchid.url.tw/myflowers/cattleya/laeliapurpurata22.jpg","Laelia purpurata f. russelliana")</f>
        <v>Laelia purpurata f. russelliana</v>
      </c>
      <c r="B256" s="18" t="s">
        <v>18</v>
      </c>
      <c r="C256" s="19">
        <v>30</v>
      </c>
    </row>
    <row r="257" spans="1:3" ht="15">
      <c r="A257" s="16" t="str">
        <f>HYPERLINK("http://www.orchid.url.tw/myflowers/cattleya/laeliapurpurata36.jpg","Laelia purpurata f. schusteriana")</f>
        <v>Laelia purpurata f. schusteriana</v>
      </c>
      <c r="B257" s="18" t="s">
        <v>18</v>
      </c>
      <c r="C257" s="19">
        <v>30</v>
      </c>
    </row>
    <row r="258" spans="1:3" ht="15">
      <c r="A258" s="16" t="str">
        <f>HYPERLINK("https://photos.app.goo.gl/MFEDDjf9Jat4bJcSA","Laelia rubescens f. semialba")</f>
        <v>Laelia rubescens f. semialba</v>
      </c>
      <c r="B258" s="18" t="s">
        <v>18</v>
      </c>
      <c r="C258" s="19">
        <v>30</v>
      </c>
    </row>
    <row r="259" spans="1:3" ht="15">
      <c r="A259" s="16" t="str">
        <f>HYPERLINK("http://www.orchidspecies.com/orphotdir/laelspeciosa.jpg","Laelia speciosa")</f>
        <v>Laelia speciosa</v>
      </c>
      <c r="B259" s="18" t="s">
        <v>18</v>
      </c>
      <c r="C259" s="19">
        <v>45</v>
      </c>
    </row>
    <row r="260" spans="1:3" ht="15">
      <c r="A260" s="16" t="str">
        <f>HYPERLINK("https://photos.app.goo.gl/K5ctbuFRtTNZMm9a6","Leptotes bicolor")</f>
        <v>Leptotes bicolor</v>
      </c>
      <c r="B260" s="18" t="s">
        <v>18</v>
      </c>
      <c r="C260" s="19">
        <v>20</v>
      </c>
    </row>
    <row r="261" spans="1:3" ht="15">
      <c r="A261" s="16" t="str">
        <f>HYPERLINK("https://photos.app.goo.gl/x7haYCbtFkxbNShy6","Ludisia discolor")</f>
        <v>Ludisia discolor</v>
      </c>
      <c r="B261" s="18" t="s">
        <v>18</v>
      </c>
      <c r="C261" s="19">
        <v>15</v>
      </c>
    </row>
    <row r="262" spans="1:3" ht="15">
      <c r="A262" s="16" t="str">
        <f>HYPERLINK("http://www.orchidspecies.com/orphotdir/luisiaprimulina.jpg","Luisia primulina")</f>
        <v>Luisia primulina</v>
      </c>
      <c r="B262" s="18" t="s">
        <v>18</v>
      </c>
      <c r="C262" s="19">
        <v>25</v>
      </c>
    </row>
    <row r="263" spans="1:3" ht="15">
      <c r="A263" s="16" t="str">
        <f>HYPERLINK("https://photos.app.goo.gl/AcNVe2jwUmwF3mcf6","Macradenia multiflora")</f>
        <v>Macradenia multiflora</v>
      </c>
      <c r="B263" s="18" t="s">
        <v>18</v>
      </c>
      <c r="C263" s="19">
        <v>25</v>
      </c>
    </row>
    <row r="264" spans="1:3" ht="15">
      <c r="A264" s="16" t="str">
        <f>HYPERLINK("https://commons.wikimedia.org/wiki/File:Masdevallia_weberbaueri_OrchidsBln0906.jpg","Masdevallia weberbaueri x sib")</f>
        <v>Masdevallia weberbaueri x sib</v>
      </c>
      <c r="B264" s="18" t="s">
        <v>18</v>
      </c>
      <c r="C264" s="19">
        <v>25</v>
      </c>
    </row>
    <row r="265" spans="1:3" ht="15">
      <c r="A265" s="16" t="str">
        <f>HYPERLINK("https://photos.app.goo.gl/W9TCbnyu5T1WxPoX8","Maxillaria tenuifolia")</f>
        <v>Maxillaria tenuifolia</v>
      </c>
      <c r="B265" s="18" t="s">
        <v>18</v>
      </c>
      <c r="C265" s="19">
        <v>20</v>
      </c>
    </row>
    <row r="266" spans="1:3" ht="15">
      <c r="A266" s="16" t="str">
        <f>HYPERLINK("https://photos.app.goo.gl/PA4K1o8bkA84cNfV9","Maxillaria tenuifolia, variegated form")</f>
        <v>Maxillaria tenuifolia, variegated form</v>
      </c>
      <c r="B266" s="18" t="s">
        <v>18</v>
      </c>
      <c r="C266" s="19">
        <v>25</v>
      </c>
    </row>
    <row r="267" spans="1:3" ht="15">
      <c r="A267" s="16" t="str">
        <f>HYPERLINK("https://photos.app.goo.gl/z4cJzTJWB7jNkbxd6","Maxillaria variabilis")</f>
        <v>Maxillaria variabilis</v>
      </c>
      <c r="B267" s="18" t="s">
        <v>18</v>
      </c>
      <c r="C267" s="19">
        <v>20</v>
      </c>
    </row>
    <row r="268" spans="1:3" ht="15">
      <c r="A268" s="16" t="str">
        <f>HYPERLINK("http://www.orchid.url.tw/myflowers/others/microperautriculosa.jpg","Micropera utriculosa")</f>
        <v>Micropera utriculosa</v>
      </c>
      <c r="B268" s="18" t="s">
        <v>18</v>
      </c>
      <c r="C268" s="19">
        <v>25</v>
      </c>
    </row>
    <row r="269" spans="1:3" ht="15">
      <c r="A269" s="16" t="str">
        <f>HYPERLINK("https://photos.app.goo.gl/591pnSa3MZ6pqzeJA","Oeceoclades spathulifera")</f>
        <v>Oeceoclades spathulifera</v>
      </c>
      <c r="B269" s="18" t="s">
        <v>18</v>
      </c>
      <c r="C269" s="19">
        <v>35</v>
      </c>
    </row>
    <row r="270" spans="1:3" ht="15">
      <c r="A270" s="16" t="str">
        <f>HYPERLINK("https://photos.app.goo.gl/iE7BKRAp8S8ryBAa6","Oeoniella polystachys")</f>
        <v>Oeoniella polystachys</v>
      </c>
      <c r="B270" s="18" t="s">
        <v>18</v>
      </c>
      <c r="C270" s="19">
        <v>25</v>
      </c>
    </row>
    <row r="271" spans="1:3" ht="15">
      <c r="A271" s="16" t="str">
        <f>HYPERLINK("https://photos.app.goo.gl/bgKr5kGCsNWmkLfr9","Papilionanthe teres")</f>
        <v>Papilionanthe teres</v>
      </c>
      <c r="B271" s="18" t="s">
        <v>18</v>
      </c>
      <c r="C271" s="19">
        <v>25</v>
      </c>
    </row>
    <row r="272" spans="1:3" ht="15">
      <c r="A272" s="16" t="str">
        <f>HYPERLINK("https://photos.app.goo.gl/6yYJ2E85DT9dm6Qr6","Phalaenopsis amabilis f. aurea")</f>
        <v>Phalaenopsis amabilis f. aurea</v>
      </c>
      <c r="B272" s="18" t="s">
        <v>18</v>
      </c>
      <c r="C272" s="19">
        <v>30</v>
      </c>
    </row>
    <row r="273" spans="1:3" ht="15">
      <c r="A273" s="16" t="str">
        <f>HYPERLINK("https://photos.app.goo.gl/1rJKzf7DAVJatF49A","Phalaenopsis amboinensis")</f>
        <v>Phalaenopsis amboinensis</v>
      </c>
      <c r="B273" s="18" t="s">
        <v>18</v>
      </c>
      <c r="C273" s="19">
        <v>35</v>
      </c>
    </row>
    <row r="274" spans="1:3" ht="15">
      <c r="A274" s="16" t="str">
        <f>HYPERLINK("https://photos.app.goo.gl/eRozj3Ad47Aen6Rt7","Phalaenopsis bastianii")</f>
        <v>Phalaenopsis bastianii</v>
      </c>
      <c r="B274" s="18" t="s">
        <v>18</v>
      </c>
      <c r="C274" s="19">
        <v>35</v>
      </c>
    </row>
    <row r="275" spans="1:3" ht="15">
      <c r="A275" s="16" t="str">
        <f>HYPERLINK("https://photos.app.goo.gl/FA13B8c1iDVZQ6Ki7","Phalaenopsis bellina 'Red Apple'")</f>
        <v>Phalaenopsis bellina 'Red Apple'</v>
      </c>
      <c r="B275" s="18" t="s">
        <v>18</v>
      </c>
      <c r="C275" s="19">
        <v>30</v>
      </c>
    </row>
    <row r="276" spans="1:3" ht="15">
      <c r="A276" s="16" t="str">
        <f>HYPERLINK("https://photos.app.goo.gl/Ym7H9k2PxS7gNfsR8","Phalaenopsis borneensis")</f>
        <v>Phalaenopsis borneensis</v>
      </c>
      <c r="B276" s="18" t="s">
        <v>20</v>
      </c>
      <c r="C276" s="19">
        <v>35</v>
      </c>
    </row>
    <row r="277" spans="1:3" ht="15">
      <c r="A277" s="16" t="str">
        <f>HYPERLINK("https://photos.app.goo.gl/r6KEi59rki9i4Qy4A","Phalaenopsis corningiana")</f>
        <v>Phalaenopsis corningiana</v>
      </c>
      <c r="B277" s="18" t="s">
        <v>18</v>
      </c>
      <c r="C277" s="19">
        <v>45</v>
      </c>
    </row>
    <row r="278" spans="1:3" ht="15">
      <c r="A278" s="16" t="str">
        <f>HYPERLINK("https://photos.app.goo.gl/MmZyB7egssFD2QQq9","Phalaenopsis cornu-cervi var. chattaladae")</f>
        <v>Phalaenopsis cornu-cervi var. chattaladae</v>
      </c>
      <c r="B278" s="18" t="s">
        <v>18</v>
      </c>
      <c r="C278" s="19">
        <v>40</v>
      </c>
    </row>
    <row r="279" spans="1:3" ht="15">
      <c r="A279" s="16" t="str">
        <f>HYPERLINK("https://photos.app.goo.gl/VB2JzVb22GJXymvu8","Phalaenopsis equestris")</f>
        <v>Phalaenopsis equestris</v>
      </c>
      <c r="B279" s="18" t="s">
        <v>18</v>
      </c>
      <c r="C279" s="19">
        <v>20</v>
      </c>
    </row>
    <row r="280" spans="1:3" ht="15">
      <c r="A280" s="16" t="str">
        <f>HYPERLINK("https://photos.app.goo.gl/YqvHwpg5ZLxz1R326","Phalaenopsis equestris f. alba")</f>
        <v>Phalaenopsis equestris f. alba</v>
      </c>
      <c r="B280" s="18" t="s">
        <v>18</v>
      </c>
      <c r="C280" s="19">
        <v>35</v>
      </c>
    </row>
    <row r="281" spans="1:3" ht="15">
      <c r="A281" s="16" t="str">
        <f>HYPERLINK("https://photos.app.goo.gl/r23cVBD2BWrPosdZ6","Phalaenopsis equestris f. coerulea")</f>
        <v>Phalaenopsis equestris f. coerulea</v>
      </c>
      <c r="B281" s="18" t="s">
        <v>18</v>
      </c>
      <c r="C281" s="19">
        <v>35</v>
      </c>
    </row>
    <row r="282" spans="1:3" ht="15">
      <c r="A282" s="16" t="str">
        <f>HYPERLINK("http://bluenanta.com/static/utils/images/species/spc_000044106_000151213.jpg","Phalaenopsis gigantea f. flava 'Tawei'")</f>
        <v>Phalaenopsis gigantea f. flava 'Tawei'</v>
      </c>
      <c r="B282" s="18" t="s">
        <v>38</v>
      </c>
      <c r="C282" s="19">
        <v>60</v>
      </c>
    </row>
    <row r="283" spans="1:3" ht="15">
      <c r="A283" s="16" t="str">
        <f>HYPERLINK("https://photos.app.goo.gl/5em7ZXjXoDZBrdmTA","Phalaenopsis javanica")</f>
        <v>Phalaenopsis javanica</v>
      </c>
      <c r="B283" s="18" t="s">
        <v>18</v>
      </c>
      <c r="C283" s="19">
        <v>30</v>
      </c>
    </row>
    <row r="284" spans="1:3" ht="15">
      <c r="A284" s="16" t="str">
        <f>HYPERLINK("https://photos.app.goo.gl/92bsXkcajCeom5QF8","Phalaenopsis lindenii")</f>
        <v>Phalaenopsis lindenii</v>
      </c>
      <c r="B284" s="18" t="s">
        <v>18</v>
      </c>
      <c r="C284" s="19">
        <v>30</v>
      </c>
    </row>
    <row r="285" spans="1:3" ht="15">
      <c r="A285" s="16" t="str">
        <f>HYPERLINK("http://www.orchid.url.tw/myflowers/phalaenopsis/lowii3.jpg","Phalaenopsis lowii")</f>
        <v>Phalaenopsis lowii</v>
      </c>
      <c r="B285" s="18" t="s">
        <v>18</v>
      </c>
      <c r="C285" s="19">
        <v>30</v>
      </c>
    </row>
    <row r="286" spans="1:3" ht="15">
      <c r="A286" s="16" t="str">
        <f>HYPERLINK("https://photos.app.goo.gl/CkRMq1AnsmRFjqUm6","Phalaenopsis lueddemanniana")</f>
        <v>Phalaenopsis lueddemanniana</v>
      </c>
      <c r="B286" s="18" t="s">
        <v>18</v>
      </c>
      <c r="C286" s="19">
        <v>40</v>
      </c>
    </row>
    <row r="287" spans="1:3" ht="15">
      <c r="A287" s="16" t="str">
        <f>HYPERLINK("https://photos.app.goo.gl/EacEDzKcpKmwqigv5","Phalaenopsis mentawaiensis")</f>
        <v>Phalaenopsis mentawaiensis</v>
      </c>
      <c r="B287" s="18" t="s">
        <v>18</v>
      </c>
      <c r="C287" s="19">
        <v>30</v>
      </c>
    </row>
    <row r="288" spans="1:3" ht="15">
      <c r="A288" s="16" t="str">
        <f>HYPERLINK("https://photos.app.goo.gl/29qsC5tmTNk4V7z36","Phalaenopsis mentawaiensis f. coerulea")</f>
        <v>Phalaenopsis mentawaiensis f. coerulea</v>
      </c>
      <c r="B288" s="18" t="s">
        <v>18</v>
      </c>
      <c r="C288" s="19">
        <v>40</v>
      </c>
    </row>
    <row r="289" spans="1:3" ht="15">
      <c r="A289" s="16" t="str">
        <f>HYPERLINK("https://photos.app.goo.gl/ZcXHBHiPcg77GK787","Phalaenopsis modesta")</f>
        <v>Phalaenopsis modesta</v>
      </c>
      <c r="B289" s="18" t="s">
        <v>18</v>
      </c>
      <c r="C289" s="19">
        <v>35</v>
      </c>
    </row>
    <row r="290" spans="1:3" ht="15">
      <c r="A290" s="16" t="str">
        <f>HYPERLINK("https://photos.app.goo.gl/phxD8qorXnVAVhBA8","Phalaenopsis pallens")</f>
        <v>Phalaenopsis pallens</v>
      </c>
      <c r="B290" s="18" t="s">
        <v>18</v>
      </c>
      <c r="C290" s="19">
        <v>35</v>
      </c>
    </row>
    <row r="291" spans="1:3" ht="15">
      <c r="A291" s="16" t="str">
        <f>HYPERLINK("https://photos.app.goo.gl/ipEz3cGN5i7UvuvB7","Phalaenopsis pantherina")</f>
        <v>Phalaenopsis pantherina</v>
      </c>
      <c r="B291" s="18" t="s">
        <v>18</v>
      </c>
      <c r="C291" s="19">
        <v>40</v>
      </c>
    </row>
    <row r="292" spans="1:3" ht="15">
      <c r="A292" s="16" t="str">
        <f>HYPERLINK("https://photos.app.goo.gl/5hMxDF68z6yLC2Hf7","Phalaenopsis pulcherrima f. coerulea")</f>
        <v>Phalaenopsis pulcherrima f. coerulea</v>
      </c>
      <c r="B292" s="18" t="s">
        <v>20</v>
      </c>
      <c r="C292" s="19">
        <v>30</v>
      </c>
    </row>
    <row r="293" spans="1:3" ht="15">
      <c r="A293" s="16" t="str">
        <f>HYPERLINK("https://photos.app.goo.gl/9Z6wkhr9f23YjAVu5","Phalaenopsis sanderiana")</f>
        <v>Phalaenopsis sanderiana</v>
      </c>
      <c r="B293" s="18" t="s">
        <v>18</v>
      </c>
      <c r="C293" s="19">
        <v>35</v>
      </c>
    </row>
    <row r="294" spans="1:3" ht="15">
      <c r="A294" s="16" t="str">
        <f>HYPERLINK("https://photos.app.goo.gl/k5ggoASZdu63yr2j8","Phalaenopsis schilleriana")</f>
        <v>Phalaenopsis schilleriana</v>
      </c>
      <c r="B294" s="18" t="s">
        <v>18</v>
      </c>
      <c r="C294" s="19">
        <v>30</v>
      </c>
    </row>
    <row r="295" spans="1:3" ht="15">
      <c r="A295" s="16" t="str">
        <f>HYPERLINK("https://photos.app.goo.gl/pQbsZGjJjBF9NEAw8","Phalaenopsis stuartiana var. nobilis (MC)")</f>
        <v>Phalaenopsis stuartiana var. nobilis (MC)</v>
      </c>
      <c r="B295" s="18" t="s">
        <v>18</v>
      </c>
      <c r="C295" s="19">
        <v>30</v>
      </c>
    </row>
    <row r="296" spans="1:3" ht="15">
      <c r="A296" s="16" t="str">
        <f>HYPERLINK("https://photos.app.goo.gl/jc7Cqm9uPqvZP9Nm9","Phalaenopsis stuartiana, normal form")</f>
        <v>Phalaenopsis stuartiana, normal form</v>
      </c>
      <c r="B296" s="18" t="s">
        <v>20</v>
      </c>
      <c r="C296" s="19">
        <v>35</v>
      </c>
    </row>
    <row r="297" spans="1:3" ht="15">
      <c r="A297" s="16" t="str">
        <f>HYPERLINK("https://photos.app.goo.gl/oBm3wbAdyyn2rE6U6","Phalaenopsis tetraspis f. imperatrix purple")</f>
        <v>Phalaenopsis tetraspis f. imperatrix purple</v>
      </c>
      <c r="B297" s="18" t="s">
        <v>18</v>
      </c>
      <c r="C297" s="19">
        <v>40</v>
      </c>
    </row>
    <row r="298" spans="1:3" ht="15">
      <c r="A298" s="16" t="str">
        <f>HYPERLINK("https://photos.app.goo.gl/rdMLZEQqHVGRhWT88","Phalaenopsis tetraspis f. imperatrix red")</f>
        <v>Phalaenopsis tetraspis f. imperatrix red</v>
      </c>
      <c r="B298" s="18" t="s">
        <v>18</v>
      </c>
      <c r="C298" s="19">
        <v>40</v>
      </c>
    </row>
    <row r="299" spans="1:3" ht="15">
      <c r="A299" s="16" t="str">
        <f>HYPERLINK("https://photos.app.goo.gl/ugD7JdeyPA7fgMzt5","Phalaenopsis tetraspis f. tetraspis")</f>
        <v>Phalaenopsis tetraspis f. tetraspis</v>
      </c>
      <c r="B299" s="18" t="s">
        <v>20</v>
      </c>
      <c r="C299" s="19">
        <v>35</v>
      </c>
    </row>
    <row r="300" spans="1:3" ht="15">
      <c r="A300" s="16" t="str">
        <f>HYPERLINK("https://photos.app.goo.gl/XWrUpXD33WcjZ7jH7","Phalaenopsis tetraspis f. tetraspis f. alba")</f>
        <v>Phalaenopsis tetraspis f. tetraspis f. alba</v>
      </c>
      <c r="B300" s="18" t="s">
        <v>20</v>
      </c>
      <c r="C300" s="19">
        <v>45</v>
      </c>
    </row>
    <row r="301" spans="1:3" ht="15">
      <c r="A301" s="16" t="str">
        <f>HYPERLINK("https://photos.app.goo.gl/9vhRZf8YEFfDQVgYA","Phalaenopsis venosa KF (MC)")</f>
        <v>Phalaenopsis venosa KF (MC)</v>
      </c>
      <c r="B301" s="18" t="s">
        <v>18</v>
      </c>
      <c r="C301" s="19">
        <v>35</v>
      </c>
    </row>
    <row r="302" spans="1:3" ht="15">
      <c r="A302" s="16" t="str">
        <f>HYPERLINK("https://photos.app.goo.gl/5i3bXKCVVftC3XYw5","Phalaenopsis violacea f. indigo HP Norton")</f>
        <v>Phalaenopsis violacea f. indigo HP Norton</v>
      </c>
      <c r="B302" s="18" t="s">
        <v>18</v>
      </c>
      <c r="C302" s="19">
        <v>40</v>
      </c>
    </row>
    <row r="303" spans="1:3" ht="15">
      <c r="A303" s="16" t="str">
        <f>HYPERLINK("https://photos.app.goo.gl/dsJw9eFkEjcYYzXd7","Phalaenopsis violacea f. magenta")</f>
        <v>Phalaenopsis violacea f. magenta</v>
      </c>
      <c r="B303" s="18" t="s">
        <v>18</v>
      </c>
      <c r="C303" s="19">
        <v>40</v>
      </c>
    </row>
    <row r="304" spans="1:3" ht="15">
      <c r="A304" s="16" t="str">
        <f>HYPERLINK("https://photos.app.goo.gl/GQnwuURvW9kXzJWF8","Podangis dactyloceras")</f>
        <v>Podangis dactyloceras</v>
      </c>
      <c r="B304" s="18" t="s">
        <v>18</v>
      </c>
      <c r="C304" s="19">
        <v>20</v>
      </c>
    </row>
    <row r="305" spans="1:3" ht="15">
      <c r="A305" s="16" t="str">
        <f>HYPERLINK("http://www.orchid.url.tw/myflowers/others/oncidiumlimminghei.jpg","Psychopsiella limminghei")</f>
        <v>Psychopsiella limminghei</v>
      </c>
      <c r="B305" s="18" t="s">
        <v>18</v>
      </c>
      <c r="C305" s="19">
        <v>20</v>
      </c>
    </row>
    <row r="306" spans="1:3" ht="15">
      <c r="A306" s="16" t="str">
        <f>HYPERLINK("https://photos.app.goo.gl/78J8kxTVQmDVyqyt6","Pteroceras longicalcareum")</f>
        <v>Pteroceras longicalcareum</v>
      </c>
      <c r="B306" s="18" t="s">
        <v>18</v>
      </c>
      <c r="C306" s="19">
        <v>20</v>
      </c>
    </row>
    <row r="307" spans="1:3" ht="15">
      <c r="A307" s="16" t="str">
        <f>HYPERLINK("http://www.orchid.url.tw/myflowers/others/pterocerassemiteretifolia.jpg","Pteroceras semiteretifolium")</f>
        <v>Pteroceras semiteretifolium</v>
      </c>
      <c r="B307" s="18" t="s">
        <v>20</v>
      </c>
      <c r="C307" s="19">
        <v>25</v>
      </c>
    </row>
    <row r="308" spans="1:3" ht="15">
      <c r="A308" s="16" t="str">
        <f>HYPERLINK("https://photos.app.goo.gl/3F248GHeEzbozZon6","Renanthera citrina")</f>
        <v>Renanthera citrina</v>
      </c>
      <c r="B308" s="18" t="s">
        <v>18</v>
      </c>
      <c r="C308" s="19">
        <v>30</v>
      </c>
    </row>
    <row r="309" spans="1:3" ht="15">
      <c r="A309" s="16" t="str">
        <f>HYPERLINK("https://photos.app.goo.gl/14VCRdtkbCkQivMe9","Renanthera imschootiana")</f>
        <v>Renanthera imschootiana</v>
      </c>
      <c r="B309" s="18" t="s">
        <v>18</v>
      </c>
      <c r="C309" s="19">
        <v>25</v>
      </c>
    </row>
    <row r="310" spans="1:3" ht="15">
      <c r="A310" s="16" t="str">
        <f>HYPERLINK("https://photos.app.goo.gl/YLoJfD5f8PCcqgTR6","Renanthera monachica")</f>
        <v>Renanthera monachica</v>
      </c>
      <c r="B310" s="18" t="s">
        <v>18</v>
      </c>
      <c r="C310" s="19">
        <v>20</v>
      </c>
    </row>
    <row r="311" spans="1:3" ht="15">
      <c r="A311" s="16" t="str">
        <f>HYPERLINK("https://photos.app.goo.gl/dLxNZnHCEiTZnoE59","Rhynchostylis gigantea f. alba")</f>
        <v>Rhynchostylis gigantea f. alba</v>
      </c>
      <c r="B311" s="18" t="s">
        <v>18</v>
      </c>
      <c r="C311" s="19">
        <v>30</v>
      </c>
    </row>
    <row r="312" spans="1:3" ht="15">
      <c r="A312" s="16" t="str">
        <f>HYPERLINK("https://photos.app.goo.gl/PcohbMv9mMKvQSUA8","Rhynchostylis gigantea, white with pink dots")</f>
        <v>Rhynchostylis gigantea, white with pink dots</v>
      </c>
      <c r="B312" s="18" t="s">
        <v>18</v>
      </c>
      <c r="C312" s="19">
        <v>30</v>
      </c>
    </row>
    <row r="313" spans="1:3" ht="15">
      <c r="A313" s="16" t="str">
        <f>HYPERLINK("https://photos.app.goo.gl/e8RUNCJTM1KwnAef6","Robiquetia cerina")</f>
        <v>Robiquetia cerina</v>
      </c>
      <c r="B313" s="18" t="s">
        <v>18</v>
      </c>
      <c r="C313" s="19">
        <v>45</v>
      </c>
    </row>
    <row r="314" spans="1:3" ht="15">
      <c r="A314" s="16" t="str">
        <f>HYPERLINK("https://photos.app.goo.gl/qivkMj6b7w7jAkeJA","Schoenorchis fragrans")</f>
        <v>Schoenorchis fragrans</v>
      </c>
      <c r="B314" s="18" t="s">
        <v>18</v>
      </c>
      <c r="C314" s="19">
        <v>25</v>
      </c>
    </row>
    <row r="315" spans="1:3" ht="15">
      <c r="A315" s="16" t="str">
        <f>HYPERLINK("http://www.orchid.url.tw/myflowers/others/schomburgkialueddemanii1.jpg","Schomburgkia lueddemannii")</f>
        <v>Schomburgkia lueddemannii</v>
      </c>
      <c r="B315" s="18" t="s">
        <v>18</v>
      </c>
      <c r="C315" s="19">
        <v>30</v>
      </c>
    </row>
    <row r="316" spans="1:3" ht="15">
      <c r="A316" s="16" t="str">
        <f>HYPERLINK("https://photos.app.goo.gl/AkFKoEacEWrvv9eY7","Schomburgkia thomsoniana")</f>
        <v>Schomburgkia thomsoniana</v>
      </c>
      <c r="B316" s="18" t="s">
        <v>18</v>
      </c>
      <c r="C316" s="19">
        <v>30</v>
      </c>
    </row>
    <row r="317" spans="1:3" ht="15">
      <c r="A317" s="16" t="str">
        <f>HYPERLINK("http://www.orchid.url.tw/myflowers/others/schomburgkiatibicinis1.jpg","Schomburgkia tibicinis")</f>
        <v>Schomburgkia tibicinis</v>
      </c>
      <c r="B317" s="18" t="s">
        <v>18</v>
      </c>
      <c r="C317" s="19">
        <v>30</v>
      </c>
    </row>
    <row r="318" spans="1:3" ht="15">
      <c r="A318" s="16" t="str">
        <f>HYPERLINK("http://www.orchid.url.tw/myflowers/others/schomburgkiaalbopurpurea.jpg","Schumburgkia albopurpurea")</f>
        <v>Schumburgkia albopurpurea</v>
      </c>
      <c r="B318" s="18" t="s">
        <v>18</v>
      </c>
      <c r="C318" s="19">
        <v>30</v>
      </c>
    </row>
    <row r="319" spans="1:3" ht="15">
      <c r="A319" s="16" t="str">
        <f>HYPERLINK("http://www.orchid.url.tw/myflowers/others/sedireajaponica.jpg","Sedirea japonica")</f>
        <v>Sedirea japonica</v>
      </c>
      <c r="B319" s="18" t="s">
        <v>18</v>
      </c>
      <c r="C319" s="19">
        <v>25</v>
      </c>
    </row>
    <row r="320" spans="1:3" ht="15">
      <c r="A320" s="16" t="str">
        <f>HYPERLINK("https://photos.app.goo.gl/hp8WVcAnmcqF3fm88","Sedirea japonica 'Daruma' 達磨")</f>
        <v>Sedirea japonica 'Daruma' 達磨</v>
      </c>
      <c r="B320" s="18" t="s">
        <v>18</v>
      </c>
      <c r="C320" s="19">
        <v>35</v>
      </c>
    </row>
    <row r="321" spans="1:3" ht="15">
      <c r="A321" s="16" t="str">
        <f>HYPERLINK("https://photos.app.goo.gl/9CBN4vxeCpbD7C14A","Sobennikoffia humbertiana")</f>
        <v>Sobennikoffia humbertiana</v>
      </c>
      <c r="B321" s="18" t="s">
        <v>18</v>
      </c>
      <c r="C321" s="19">
        <v>25</v>
      </c>
    </row>
    <row r="322" spans="1:3" ht="15">
      <c r="A322" s="16" t="str">
        <f>HYPERLINK("https://photos.app.goo.gl/ycVwYihB8yxjfak98","Sophronitis cernua")</f>
        <v>Sophronitis cernua</v>
      </c>
      <c r="B322" s="18" t="s">
        <v>18</v>
      </c>
      <c r="C322" s="19">
        <v>25</v>
      </c>
    </row>
    <row r="323" spans="1:3" ht="15">
      <c r="A323" s="16" t="str">
        <f>HYPERLINK("https://photos.app.goo.gl/Xh9JWbKzvV6242LYA","Spiranthes sinensis")</f>
        <v>Spiranthes sinensis</v>
      </c>
      <c r="B323" s="18" t="s">
        <v>18</v>
      </c>
      <c r="C323" s="19">
        <v>15</v>
      </c>
    </row>
    <row r="324" spans="1:3" ht="15">
      <c r="A324" s="16" t="str">
        <f>HYPERLINK("https://photos.app.goo.gl/FeyMAXGdRSaSXEsf8","Spiranthes speciosa")</f>
        <v>Spiranthes speciosa</v>
      </c>
      <c r="B324" s="18" t="s">
        <v>18</v>
      </c>
      <c r="C324" s="19">
        <v>25</v>
      </c>
    </row>
    <row r="325" spans="1:3" ht="15">
      <c r="A325" s="16" t="str">
        <f>HYPERLINK("https://photos.app.goo.gl/M3TDP2jr39yoMWjp8","Thecopus maingayi")</f>
        <v>Thecopus maingayi</v>
      </c>
      <c r="B325" s="18" t="s">
        <v>18</v>
      </c>
      <c r="C325" s="19">
        <v>20</v>
      </c>
    </row>
    <row r="326" spans="1:3" ht="15">
      <c r="A326" s="16" t="str">
        <f>HYPERLINK("https://photos.app.goo.gl/4zrimwcjkUq1SEGM8","Trichocentrum cebolleta")</f>
        <v>Trichocentrum cebolleta</v>
      </c>
      <c r="B326" s="18" t="s">
        <v>18</v>
      </c>
      <c r="C326" s="19">
        <v>25</v>
      </c>
    </row>
    <row r="327" spans="1:3" ht="15">
      <c r="A327" s="16" t="str">
        <f>HYPERLINK("http://www.orchid.url.tw/myflowers/others/oncidiumlanceanum1.jpg","Trichocentrum lanceanum")</f>
        <v>Trichocentrum lanceanum</v>
      </c>
      <c r="B327" s="18" t="s">
        <v>18</v>
      </c>
      <c r="C327" s="19">
        <v>25</v>
      </c>
    </row>
    <row r="328" spans="1:3" ht="15">
      <c r="A328" s="16" t="str">
        <f>HYPERLINK("https://photos.app.goo.gl/6ys7vmzViMtz8ZxbA","Trichocentrum pumilum")</f>
        <v>Trichocentrum pumilum</v>
      </c>
      <c r="B328" s="18" t="s">
        <v>20</v>
      </c>
      <c r="C328" s="19">
        <v>25</v>
      </c>
    </row>
    <row r="329" spans="1:3" ht="15">
      <c r="A329" s="16" t="str">
        <f>HYPERLINK("http://www.orchid.url.tw/myflowers/others/oncidiumstacyi1.jpg","Trichocentrum stacyi")</f>
        <v>Trichocentrum stacyi</v>
      </c>
      <c r="B329" s="18" t="s">
        <v>18</v>
      </c>
      <c r="C329" s="19">
        <v>50</v>
      </c>
    </row>
    <row r="330" spans="1:3" ht="15">
      <c r="A330" s="16" t="str">
        <f>HYPERLINK("http://www.orchidspecies.com/orphotdir/ames3999.jpg","Trichoglottis amesiana")</f>
        <v>Trichoglottis amesiana</v>
      </c>
      <c r="B330" s="18" t="s">
        <v>18</v>
      </c>
      <c r="C330" s="19">
        <v>25</v>
      </c>
    </row>
    <row r="331" spans="1:3" ht="15">
      <c r="A331" s="16" t="str">
        <f>HYPERLINK("https://photos.app.goo.gl/CXEeXx3ReENXn4sdA","Trichoglottis brachiata var. philippinensis")</f>
        <v>Trichoglottis brachiata var. philippinensis</v>
      </c>
      <c r="B331" s="18" t="s">
        <v>18</v>
      </c>
      <c r="C331" s="19">
        <v>25</v>
      </c>
    </row>
    <row r="332" spans="1:3" ht="15">
      <c r="A332" s="16" t="str">
        <f>HYPERLINK("http://www.orchidspecies.com/orphotdir/trichlatisepala.jpg","Trichoglottis latisepala")</f>
        <v>Trichoglottis latisepala</v>
      </c>
      <c r="B332" s="18" t="s">
        <v>18</v>
      </c>
      <c r="C332" s="19">
        <v>25</v>
      </c>
    </row>
    <row r="333" spans="1:3" ht="15">
      <c r="A333" s="16" t="str">
        <f>HYPERLINK("http://www.orchid.url.tw/myflowers/others/trichoglottisroseavarbreviracema.jpg","Trichoglottis rosea var. breviracema")</f>
        <v>Trichoglottis rosea var. breviracema</v>
      </c>
      <c r="B333" s="18" t="s">
        <v>18</v>
      </c>
      <c r="C333" s="19">
        <v>25</v>
      </c>
    </row>
    <row r="334" spans="1:3" ht="15">
      <c r="A334" s="16" t="str">
        <f>HYPERLINK("https://photos.app.goo.gl/ueEZtrdFcshZsxUEA","Tuberolabium kotoense")</f>
        <v>Tuberolabium kotoense</v>
      </c>
      <c r="B334" s="18" t="s">
        <v>18</v>
      </c>
      <c r="C334" s="19">
        <v>25</v>
      </c>
    </row>
    <row r="335" spans="1:3" ht="15">
      <c r="A335" s="16" t="str">
        <f>HYPERLINK("https://photos.app.goo.gl/BEjFDQPmLCD7rfQL7","Vanda falcata 'Gojofukurin' 御城覆輪")</f>
        <v>Vanda falcata 'Gojofukurin' 御城覆輪</v>
      </c>
      <c r="B335" s="18" t="s">
        <v>18</v>
      </c>
      <c r="C335" s="19">
        <v>30</v>
      </c>
    </row>
    <row r="336" spans="1:3" ht="15">
      <c r="A336" s="16" t="str">
        <f>HYPERLINK("https://photos.app.goo.gl/wdLhiXeDpzJYYNqm9","Vanda falcata 'Kibana' 黃花")</f>
        <v>Vanda falcata 'Kibana' 黃花</v>
      </c>
      <c r="B336" s="18" t="s">
        <v>18</v>
      </c>
      <c r="C336" s="19">
        <v>45</v>
      </c>
    </row>
    <row r="337" spans="1:3" ht="15">
      <c r="A337" s="16" t="str">
        <f>HYPERLINK("http://www.orchid.url.tw/myflowers/others/vandafoetida.jpg","Vanda foetida")</f>
        <v>Vanda foetida</v>
      </c>
      <c r="B337" s="18" t="s">
        <v>20</v>
      </c>
      <c r="C337" s="19">
        <v>40</v>
      </c>
    </row>
    <row r="338" spans="1:3" ht="15">
      <c r="A338" s="16" t="str">
        <f>HYPERLINK("https://photos.app.goo.gl/BKvZev9x6VkabX6Y8","Vanda lamellata var. remediosae")</f>
        <v>Vanda lamellata var. remediosae</v>
      </c>
      <c r="B338" s="18" t="s">
        <v>18</v>
      </c>
      <c r="C338" s="19">
        <v>30</v>
      </c>
    </row>
    <row r="339" spans="1:3" ht="15">
      <c r="A339" s="16" t="str">
        <f>HYPERLINK("http://www.orchid.url.tw/myflowers/others/vandascandens2.jpg","Vanda scandens")</f>
        <v>Vanda scandens</v>
      </c>
      <c r="B339" s="18" t="s">
        <v>18</v>
      </c>
      <c r="C339" s="19">
        <v>30</v>
      </c>
    </row>
    <row r="340" spans="1:3" ht="15">
      <c r="A340" s="16" t="str">
        <f>HYPERLINK("https://photos.app.goo.gl/Mc5qWfsofXwrwwQA6","Vanda tricolor var. suavis")</f>
        <v>Vanda tricolor var. suavis</v>
      </c>
      <c r="B340" s="18" t="s">
        <v>18</v>
      </c>
      <c r="C340" s="19">
        <v>45</v>
      </c>
    </row>
    <row r="341" spans="1:3" ht="15">
      <c r="A341" s="16" t="str">
        <f>HYPERLINK("https://tenshinorchids.com/wp-content/uploads/2018/11/Van-lissochiloides.jpg","Vandopsis lissochiloides f. alba x self")</f>
        <v>Vandopsis lissochiloides f. alba x self</v>
      </c>
      <c r="B341" s="18" t="s">
        <v>18</v>
      </c>
      <c r="C341" s="19">
        <v>30</v>
      </c>
    </row>
    <row r="342" spans="1:3" ht="15">
      <c r="A342" s="28"/>
      <c r="B342" s="28"/>
      <c r="C342" s="29"/>
    </row>
    <row r="343" spans="1:3" ht="15">
      <c r="A343" s="30" t="s">
        <v>39</v>
      </c>
      <c r="B343" s="31" t="s">
        <v>14</v>
      </c>
      <c r="C343" s="32" t="s">
        <v>17</v>
      </c>
    </row>
    <row r="344" spans="1:3" ht="15">
      <c r="A344" s="16" t="str">
        <f>HYPERLINK("https://photos.app.goo.gl/qQQnNhuu6v1mgbS19","Aerangis Zipper (Aergs. James G. Coyner x Aergs. citrata)")</f>
        <v>Aerangis Zipper (Aergs. James G. Coyner x Aergs. citrata)</v>
      </c>
      <c r="B344" s="18" t="s">
        <v>18</v>
      </c>
      <c r="C344" s="19">
        <v>25</v>
      </c>
    </row>
    <row r="345" spans="1:3" ht="15">
      <c r="A345" s="16" t="str">
        <f>HYPERLINK("https://tenshinorchids.com/wp-content/uploads/2018/11/Arach.-Maggie-Oei-variegated.jpg","Arachnis Maggie Oei, variegated leaves (Arach. hookeriana x Arach. flos-aeris)")</f>
        <v>Arachnis Maggie Oei, variegated leaves (Arach. hookeriana x Arach. flos-aeris)</v>
      </c>
      <c r="B345" s="18" t="s">
        <v>18</v>
      </c>
      <c r="C345" s="19">
        <v>30</v>
      </c>
    </row>
    <row r="346" spans="1:3" ht="15">
      <c r="A346" s="16" t="str">
        <f>HYPERLINK("https://photos.app.goo.gl/tBSLxM8CCCf2kgF36","Brassocattleya Hippodamia (B. nodosa x C. aclandiae)")</f>
        <v>Brassocattleya Hippodamia (B. nodosa x C. aclandiae)</v>
      </c>
      <c r="B346" s="18" t="s">
        <v>18</v>
      </c>
      <c r="C346" s="19">
        <v>25</v>
      </c>
    </row>
    <row r="347" spans="1:3" ht="15">
      <c r="A347" s="16" t="str">
        <f>HYPERLINK("https://photos.app.goo.gl/WpZG1BiLJPbmfmcs6","Bulbophyllum Hsinying Grand-arfa (Bulb. grandiflorum x Bulb. arfakianum)")</f>
        <v>Bulbophyllum Hsinying Grand-arfa (Bulb. grandiflorum x Bulb. arfakianum)</v>
      </c>
      <c r="B347" s="18" t="s">
        <v>18</v>
      </c>
      <c r="C347" s="19">
        <v>25</v>
      </c>
    </row>
    <row r="348" spans="1:3" ht="15">
      <c r="A348" s="16" t="str">
        <f>HYPERLINK("https://photos.app.goo.gl/ceejJrPxpLnypf259","Bulbophyllum Elizabeth Ann (Bulb. rothschildianum x Bulb. longissimum)")</f>
        <v>Bulbophyllum Elizabeth Ann (Bulb. rothschildianum x Bulb. longissimum)</v>
      </c>
      <c r="B348" s="25" t="s">
        <v>18</v>
      </c>
      <c r="C348" s="19">
        <v>25</v>
      </c>
    </row>
    <row r="349" spans="1:3" ht="15">
      <c r="A349" s="16" t="str">
        <f>HYPERLINK("https://photos.app.goo.gl/cc2swkLn7CyF4PZy8","Bulbophyllum Krairit Vejvarut (Bulb. phalaenopsis x Bulb. longissimum)")</f>
        <v>Bulbophyllum Krairit Vejvarut (Bulb. phalaenopsis x Bulb. longissimum)</v>
      </c>
      <c r="B349" s="18" t="s">
        <v>18</v>
      </c>
      <c r="C349" s="19">
        <v>40</v>
      </c>
    </row>
    <row r="350" spans="1:3" ht="15">
      <c r="A350" s="16" t="str">
        <f>HYPERLINK("https://photos.app.goo.gl/G1Y5Z56BDn91A5628","C. Aloha Case x L. dayana")</f>
        <v>C. Aloha Case x L. dayana</v>
      </c>
      <c r="B350" s="18" t="s">
        <v>18</v>
      </c>
      <c r="C350" s="19">
        <v>25</v>
      </c>
    </row>
    <row r="351" spans="1:3" ht="15">
      <c r="A351" s="16" t="str">
        <f>HYPERLINK("https://photos.app.goo.gl/ofPp6bY6uPz9Wscw5","C. Rubin x C. sincorana")</f>
        <v>C. Rubin x C. sincorana</v>
      </c>
      <c r="B351" s="18" t="s">
        <v>18</v>
      </c>
      <c r="C351" s="19">
        <v>25</v>
      </c>
    </row>
    <row r="352" spans="1:3" ht="15">
      <c r="A352" s="16" t="str">
        <f>HYPERLINK("http://www.orchid.url.tw/myflowers/hybrids/blchybrid1083.jpg","Cattleya Aloha Case f. semialba (C. Mini Purple x C. walkeriana)")</f>
        <v>Cattleya Aloha Case f. semialba (C. Mini Purple x C. walkeriana)</v>
      </c>
      <c r="B352" s="18" t="s">
        <v>18</v>
      </c>
      <c r="C352" s="19">
        <v>25</v>
      </c>
    </row>
    <row r="353" spans="1:3" ht="15">
      <c r="A353" s="16" t="str">
        <f>HYPERLINK("http://www.orchid.url.tw/myflowers/hybrids/blchybrid96-2.jpg","Cattleya Aloha Case, dark purple form (C. Mini Purple x C. walkeriana)")</f>
        <v>Cattleya Aloha Case, dark purple form (C. Mini Purple x C. walkeriana)</v>
      </c>
      <c r="B353" s="18" t="s">
        <v>18</v>
      </c>
      <c r="C353" s="19">
        <v>25</v>
      </c>
    </row>
    <row r="354" spans="1:3" ht="15">
      <c r="A354" s="16" t="str">
        <f>HYPERLINK("https://photos.app.goo.gl/AVaMSLn5kRxNUxiH8","Cattleya Cariad's Mini-Quinee 'Angel Kiss' (C. Mini Purple x C. intermedia)")</f>
        <v>Cattleya Cariad's Mini-Quinee 'Angel Kiss' (C. Mini Purple x C. intermedia)</v>
      </c>
      <c r="B354" s="18" t="s">
        <v>18</v>
      </c>
      <c r="C354" s="19">
        <v>25</v>
      </c>
    </row>
    <row r="355" spans="1:3" ht="15">
      <c r="A355" s="16" t="str">
        <f>HYPERLINK("http://www.orchid.url.tw/myflowers/hybrids/blchybrid89-2.jpg","Cattleya Chyong Guu Swan 'White Bowlder' (C. Wayndora x C. Persepolis)")</f>
        <v>Cattleya Chyong Guu Swan 'White Bowlder' (C. Wayndora x C. Persepolis)</v>
      </c>
      <c r="B355" s="18" t="s">
        <v>18</v>
      </c>
      <c r="C355" s="19">
        <v>20</v>
      </c>
    </row>
    <row r="356" spans="1:3" ht="15">
      <c r="A356" s="16" t="str">
        <f>HYPERLINK("https://photos.app.goo.gl/mD75jgitkeTqsFjz8","Cattleya Cosmic Delite (C. Bright Angel x C. Batemaniana)")</f>
        <v>Cattleya Cosmic Delite (C. Bright Angel x C. Batemaniana)</v>
      </c>
      <c r="B356" s="25" t="s">
        <v>18</v>
      </c>
      <c r="C356" s="19">
        <v>25</v>
      </c>
    </row>
    <row r="357" spans="1:3" ht="15">
      <c r="A357" s="16" t="str">
        <f>HYPERLINK("http://bluenanta.com/orchid/100055541/hybrid_detail/?tab=sum","Cattleya Crystelle Smith 'N.R.' HCC/AOS (C. Beaufort x Cattleya loddigesii)")</f>
        <v>Cattleya Crystelle Smith 'N.R.' HCC/AOS (C. Beaufort x Cattleya loddigesii)</v>
      </c>
      <c r="B357" s="18" t="s">
        <v>18</v>
      </c>
      <c r="C357" s="19">
        <v>25</v>
      </c>
    </row>
    <row r="358" spans="1:3" ht="15">
      <c r="A358" s="16" t="str">
        <f>HYPERLINK("https://photos.app.goo.gl/9KJMd3jBynJesLKw6","Cattleya Irene Teo Lai Kheng (C. Aloha Case × C. coccinea)")</f>
        <v>Cattleya Irene Teo Lai Kheng (C. Aloha Case × C. coccinea)</v>
      </c>
      <c r="B358" s="18" t="s">
        <v>18</v>
      </c>
      <c r="C358" s="19">
        <v>20</v>
      </c>
    </row>
    <row r="359" spans="1:3" ht="15">
      <c r="A359" s="16" t="str">
        <f>HYPERLINK("https://photos.app.goo.gl/4bqYqqCo6SehDC2f8","Cattleya Jungle Beau (C. Jungle Elf x C. Beaufort)")</f>
        <v>Cattleya Jungle Beau (C. Jungle Elf x C. Beaufort)</v>
      </c>
      <c r="B359" s="18" t="s">
        <v>18</v>
      </c>
      <c r="C359" s="19">
        <v>25</v>
      </c>
    </row>
    <row r="360" spans="1:3" ht="15">
      <c r="A360" s="16" t="str">
        <f>HYPERLINK("https://photos.app.goo.gl/Sr9QZpusZ2SCWZPk8","Cattleya Love Castle (C. Psyche (1902) x C. José Dias Castro)")</f>
        <v>Cattleya Love Castle (C. Psyche (1902) x C. José Dias Castro)</v>
      </c>
      <c r="B360" s="18" t="s">
        <v>18</v>
      </c>
      <c r="C360" s="19">
        <v>20</v>
      </c>
    </row>
    <row r="361" spans="1:3" ht="15">
      <c r="A361" s="16" t="str">
        <f>HYPERLINK("https://photos.app.goo.gl/dcWTkaoKFVjotLE4A","Cattleya Mini Purple var. coerulea (C. pumila x C. walkeriana)")</f>
        <v>Cattleya Mini Purple var. coerulea (C. pumila x C. walkeriana)</v>
      </c>
      <c r="B361" s="18" t="s">
        <v>18</v>
      </c>
      <c r="C361" s="19">
        <v>25</v>
      </c>
    </row>
    <row r="362" spans="1:3" ht="15">
      <c r="A362" s="16" t="str">
        <f>HYPERLINK("http://www.orchid.url.tw/myflowers/hybrids/blchybrid553.jpg","Cattleya Monte Elegante 'Xin Pu' (C. Penny Kuroda x C. Interglossa)")</f>
        <v>Cattleya Monte Elegante 'Xin Pu' (C. Penny Kuroda x C. Interglossa)</v>
      </c>
      <c r="B362" s="18" t="s">
        <v>18</v>
      </c>
      <c r="C362" s="19">
        <v>20</v>
      </c>
    </row>
    <row r="363" spans="1:3" ht="15">
      <c r="A363" s="16" t="str">
        <f>HYPERLINK("http://www.orchid.url.tw/myflowers/hybrids/blchybrid121.jpg","Cattleya Orglade's Grand (C. Mildred Rives x C. Persepolis)")</f>
        <v>Cattleya Orglade's Grand (C. Mildred Rives x C. Persepolis)</v>
      </c>
      <c r="B363" s="18" t="s">
        <v>18</v>
      </c>
      <c r="C363" s="19">
        <v>20</v>
      </c>
    </row>
    <row r="364" spans="1:3" ht="15">
      <c r="A364" s="16" t="str">
        <f>HYPERLINK("https://photos.app.goo.gl/6aHYp2U1yicM3X4p6","Cattleya Sea Breeze 'Blue Ribbon' (C. warneri x C. walkeriana)")</f>
        <v>Cattleya Sea Breeze 'Blue Ribbon' (C. warneri x C. walkeriana)</v>
      </c>
      <c r="B364" s="18" t="s">
        <v>18</v>
      </c>
      <c r="C364" s="19">
        <v>35</v>
      </c>
    </row>
    <row r="365" spans="1:3" ht="15">
      <c r="A365" s="16" t="str">
        <f>HYPERLINK("https://photos.app.goo.gl/GXFATNinp5oG76Yx6","Cattleya Seagulls Tiny Tim (C. Beaufort x C. cernua)        ")</f>
        <v xml:space="preserve">Cattleya Seagulls Tiny Tim (C. Beaufort x C. cernua)        </v>
      </c>
      <c r="B365" s="18" t="s">
        <v>20</v>
      </c>
      <c r="C365" s="19">
        <v>25</v>
      </c>
    </row>
    <row r="366" spans="1:3" ht="15">
      <c r="A366" s="16" t="str">
        <f>HYPERLINK("https://photos.app.goo.gl/WBW1Ex9SWXikuDQYA","Cattleya Sheng Yi Cranberry (C. Chien Ya Ruby x C. Sheng Yi Star)")</f>
        <v>Cattleya Sheng Yi Cranberry (C. Chien Ya Ruby x C. Sheng Yi Star)</v>
      </c>
      <c r="B366" s="18" t="s">
        <v>18</v>
      </c>
      <c r="C366" s="19">
        <v>20</v>
      </c>
    </row>
    <row r="367" spans="1:3" ht="15">
      <c r="A367" s="16" t="str">
        <f>HYPERLINK("https://photos.app.goo.gl/zmaaie4RKf21eVZ57","Cattleya White Island (C. walkeriana x C. jongheana)")</f>
        <v>Cattleya White Island (C. walkeriana x C. jongheana)</v>
      </c>
      <c r="B367" s="18" t="s">
        <v>18</v>
      </c>
      <c r="C367" s="19">
        <v>25</v>
      </c>
    </row>
    <row r="368" spans="1:3" ht="15">
      <c r="A368" s="16" t="str">
        <f>HYPERLINK("https://photos.app.goo.gl/2GeMQBMTyabXtbF4A","Cattlianthe Faikon Ball (Ctt. Candy Ball x C. cernua)")</f>
        <v>Cattlianthe Faikon Ball (Ctt. Candy Ball x C. cernua)</v>
      </c>
      <c r="B368" s="18" t="s">
        <v>20</v>
      </c>
      <c r="C368" s="19">
        <v>25</v>
      </c>
    </row>
    <row r="369" spans="1:3" ht="15">
      <c r="A369" s="16" t="str">
        <f>HYPERLINK("https://photos.app.goo.gl/Tfcb2XPiExuMhqL69","Cattlianthe Japanese Beauty 'Sakura' (Ctt. Fairyland x Cattleya Misaki Bells)")</f>
        <v>Cattlianthe Japanese Beauty 'Sakura' (Ctt. Fairyland x Cattleya Misaki Bells)</v>
      </c>
      <c r="B369" s="18" t="s">
        <v>18</v>
      </c>
      <c r="C369" s="19">
        <v>20</v>
      </c>
    </row>
    <row r="370" spans="1:3" ht="15">
      <c r="A370" s="16" t="str">
        <f>HYPERLINK("https://photos.app.goo.gl/xeLmvB6YCTPcpQ1c6","Catyclia Atrowalker (C. walkeriana x Enc. cordigera)")</f>
        <v>Catyclia Atrowalker (C. walkeriana x Enc. cordigera)</v>
      </c>
      <c r="B370" s="18" t="s">
        <v>18</v>
      </c>
      <c r="C370" s="19">
        <v>20</v>
      </c>
    </row>
    <row r="371" spans="1:3" ht="15">
      <c r="A371" s="16" t="str">
        <f>HYPERLINK("https://photos.app.goo.gl/X4fF7SA5ZC4TiccJ6","Catyclia Atrowalker f. alba (C. walkeriana x Enc. cordigera)")</f>
        <v>Catyclia Atrowalker f. alba (C. walkeriana x Enc. cordigera)</v>
      </c>
      <c r="B371" s="18" t="s">
        <v>18</v>
      </c>
      <c r="C371" s="19">
        <v>20</v>
      </c>
    </row>
    <row r="372" spans="1:3" ht="15">
      <c r="A372" s="16" t="str">
        <f>HYPERLINK("https://photos.app.goo.gl/EPRbqhZ6bYGEKiyy8","Cycnodes Jumbo Puff (Cyc. warscewiczii x Morm. badia)")</f>
        <v>Cycnodes Jumbo Puff (Cyc. warscewiczii x Morm. badia)</v>
      </c>
      <c r="B372" s="18" t="s">
        <v>18</v>
      </c>
      <c r="C372" s="19">
        <v>25</v>
      </c>
    </row>
    <row r="373" spans="1:3" ht="15">
      <c r="A373" s="16" t="str">
        <f>HYPERLINK("https://photos.app.goo.gl/oJw4g9QNtA6G21Xe8","Cycnodes Wine Delight (Cyc. lehmannii × Morm. sinuata)")</f>
        <v>Cycnodes Wine Delight (Cyc. lehmannii × Morm. sinuata)</v>
      </c>
      <c r="B373" s="18" t="s">
        <v>18</v>
      </c>
      <c r="C373" s="19">
        <v>25</v>
      </c>
    </row>
    <row r="374" spans="1:3" ht="15">
      <c r="A374" s="16" t="str">
        <f>HYPERLINK("http://www.orchid.url.tw/myflowers/hybrids/cymhybrid10-1.jpg","Cymbidium Green Valley Emerald, peloric form (Cym. ensifolium x Cym. Green Plumage)")</f>
        <v>Cymbidium Green Valley Emerald, peloric form (Cym. ensifolium x Cym. Green Plumage)</v>
      </c>
      <c r="B374" s="18" t="s">
        <v>18</v>
      </c>
      <c r="C374" s="19">
        <v>30</v>
      </c>
    </row>
    <row r="375" spans="1:3" ht="15">
      <c r="A375" s="16" t="str">
        <f>HYPERLINK("https://photos.app.goo.gl/7q7g4qUYHmN9BcZj9","Den. Hibiki x Den. bracteosum")</f>
        <v>Den. Hibiki x Den. bracteosum</v>
      </c>
      <c r="B375" s="18" t="s">
        <v>18</v>
      </c>
      <c r="C375" s="19">
        <v>20</v>
      </c>
    </row>
    <row r="376" spans="1:3" ht="15">
      <c r="A376" s="16" t="str">
        <f>HYPERLINK("https://photos.app.goo.gl/B4R4DnvWi6fbb51EA","Den. igneoniveum x Den. lowii")</f>
        <v>Den. igneoniveum x Den. lowii</v>
      </c>
      <c r="B376" s="18" t="s">
        <v>18</v>
      </c>
      <c r="C376" s="19">
        <v>25</v>
      </c>
    </row>
    <row r="377" spans="1:3" ht="15">
      <c r="A377" s="16" t="str">
        <f>HYPERLINK("https://photos.app.goo.gl/HSgcktC1LLm8yi937","Den. nemorale x Den. tobaense")</f>
        <v>Den. nemorale x Den. tobaense</v>
      </c>
      <c r="B377" s="18" t="s">
        <v>18</v>
      </c>
      <c r="C377" s="19">
        <v>25</v>
      </c>
    </row>
    <row r="378" spans="1:3" ht="15">
      <c r="A378" s="16" t="str">
        <f>HYPERLINK("http://www.orchid.url.tw/myflowers/hybrids/denhybrid102.jpg","Dendrobium Adastra 'Ono Ono 15' (Den. anosmum x Den. aphyllum)")</f>
        <v>Dendrobium Adastra 'Ono Ono 15' (Den. anosmum x Den. aphyllum)</v>
      </c>
      <c r="B378" s="18" t="s">
        <v>18</v>
      </c>
      <c r="C378" s="19">
        <v>30</v>
      </c>
    </row>
    <row r="379" spans="1:3" ht="15">
      <c r="A379" s="16" t="str">
        <f>HYPERLINK("https://photos.app.goo.gl/1zsoZCnCLNg9KZqM9","Dendrobium Betty Goto f. coerulea (Den. Brisbane x Den. Blanche Aisaka)")</f>
        <v>Dendrobium Betty Goto f. coerulea (Den. Brisbane x Den. Blanche Aisaka)</v>
      </c>
      <c r="B379" s="18" t="s">
        <v>18</v>
      </c>
      <c r="C379" s="19">
        <v>25</v>
      </c>
    </row>
    <row r="380" spans="1:3" ht="15">
      <c r="A380" s="16" t="str">
        <f>HYPERLINK("https://photos.app.goo.gl/UP8h7QKw3LTPw4XJA","Dendrobium Dawn Maree (Den. cruentum x Den. formosum)")</f>
        <v>Dendrobium Dawn Maree (Den. cruentum x Den. formosum)</v>
      </c>
      <c r="B380" s="18" t="s">
        <v>18</v>
      </c>
      <c r="C380" s="19">
        <v>25</v>
      </c>
    </row>
    <row r="381" spans="1:3" ht="15">
      <c r="A381" s="16" t="str">
        <f>HYPERLINK("https://photos.app.goo.gl/mrR5FNPrVwvmR2ZJ8","Dendrobium Ekapol, mutated form (Den. Lim Hepa × Den. Tomie Drake)")</f>
        <v>Dendrobium Ekapol, mutated form (Den. Lim Hepa × Den. Tomie Drake)</v>
      </c>
      <c r="B381" s="18" t="s">
        <v>18</v>
      </c>
      <c r="C381" s="19">
        <v>20</v>
      </c>
    </row>
    <row r="382" spans="1:3" ht="15">
      <c r="A382" s="16" t="str">
        <f>HYPERLINK("https://photos.app.goo.gl/jutvdYcdTcPcZJvp6","Dendrobium Formidible 'Ryu Ma' (Den. formosum x Den. infundibulum)")</f>
        <v>Dendrobium Formidible 'Ryu Ma' (Den. formosum x Den. infundibulum)</v>
      </c>
      <c r="B382" s="18" t="s">
        <v>18</v>
      </c>
      <c r="C382" s="19">
        <v>35</v>
      </c>
    </row>
    <row r="383" spans="1:3" ht="15">
      <c r="A383" s="16" t="str">
        <f>HYPERLINK("https://photos.app.goo.gl/TeQwfMMCpEYXgTek8","Dendrobium Frosty Dawn (Den. Dawn Maree × Den. Lime Frost)")</f>
        <v>Dendrobium Frosty Dawn (Den. Dawn Maree × Den. Lime Frost)</v>
      </c>
      <c r="B383" s="18" t="s">
        <v>18</v>
      </c>
      <c r="C383" s="19">
        <v>25</v>
      </c>
    </row>
    <row r="384" spans="1:3" ht="15">
      <c r="A384" s="16" t="str">
        <f>HYPERLINK("https://photos.app.goo.gl/qJmUjf1v6jjU64Ef7","Dendrobium Gonzayak (Den. ceraula x Den. goldschmidtianum)")</f>
        <v>Dendrobium Gonzayak (Den. ceraula x Den. goldschmidtianum)</v>
      </c>
      <c r="B384" s="18" t="s">
        <v>20</v>
      </c>
      <c r="C384" s="19">
        <v>25</v>
      </c>
    </row>
    <row r="385" spans="1:3" ht="15">
      <c r="A385" s="16" t="str">
        <f>HYPERLINK("http://www.orchid.url.tw/myflowers/hybrids/denhamanalake.jpg","Dendrobium Hamana Lake 'Prism' (Den. Kurenai x Den. Snow Angel)")</f>
        <v>Dendrobium Hamana Lake 'Prism' (Den. Kurenai x Den. Snow Angel)</v>
      </c>
      <c r="B385" s="18" t="s">
        <v>18</v>
      </c>
      <c r="C385" s="19">
        <v>30</v>
      </c>
    </row>
    <row r="386" spans="1:3" ht="15">
      <c r="A386" s="16" t="str">
        <f>HYPERLINK("https://photos.app.goo.gl/UFSPvKEp1rm5BZgK6","Dendrobium Hibiki (Den. bracteosum × Den. laevifolium)")</f>
        <v>Dendrobium Hibiki (Den. bracteosum × Den. laevifolium)</v>
      </c>
      <c r="B386" s="18" t="s">
        <v>18</v>
      </c>
      <c r="C386" s="19">
        <v>20</v>
      </c>
    </row>
    <row r="387" spans="1:3" ht="15">
      <c r="A387" s="16" t="str">
        <f>HYPERLINK("https://photos.app.goo.gl/5wPcsf5ACvNLK36T7","Dendrobium Hilda Poxon (Den. tetragonum x Den. speciosum)")</f>
        <v>Dendrobium Hilda Poxon (Den. tetragonum x Den. speciosum)</v>
      </c>
      <c r="B387" s="18" t="s">
        <v>18</v>
      </c>
      <c r="C387" s="19">
        <v>25</v>
      </c>
    </row>
    <row r="388" spans="1:3" ht="15">
      <c r="A388" s="16" t="str">
        <f>HYPERLINK("https://photos.app.goo.gl/6GTnKP8CPRGMApE27","Dendrobium Hsinying Frostymaree (Den. Frosty Dawn x Den. Dawn Maree)")</f>
        <v>Dendrobium Hsinying Frostymaree (Den. Frosty Dawn x Den. Dawn Maree)</v>
      </c>
      <c r="B388" s="18" t="s">
        <v>18</v>
      </c>
      <c r="C388" s="19">
        <v>25</v>
      </c>
    </row>
    <row r="389" spans="1:3" ht="15">
      <c r="A389" s="16" t="str">
        <f>HYPERLINK("https://photos.app.goo.gl/VJTUpdeEsdhFLSFV6","Dendrobium King Zip 'Red Splash' (Den. Kathking x Den. Zip)")</f>
        <v>Dendrobium King Zip 'Red Splash' (Den. Kathking x Den. Zip)</v>
      </c>
      <c r="B389" s="18" t="s">
        <v>18</v>
      </c>
      <c r="C389" s="19">
        <v>20</v>
      </c>
    </row>
    <row r="390" spans="1:3" ht="15">
      <c r="A390" s="16" t="str">
        <f>HYPERLINK("https://photos.app.goo.gl/7ZBfLLL7LSwgvsNL6","Dendrobium Kuniko (Den. goldschmidtianum x Den. victoriae-reginae)")</f>
        <v>Dendrobium Kuniko (Den. goldschmidtianum x Den. victoriae-reginae)</v>
      </c>
      <c r="B390" s="18" t="s">
        <v>18</v>
      </c>
      <c r="C390" s="19">
        <v>25</v>
      </c>
    </row>
    <row r="391" spans="1:3" ht="15">
      <c r="A391" s="16" t="str">
        <f>HYPERLINK("http://blog-imgs-88.fc2.com/s/h/o/shonan310/2016011017092462f.jpg","Dendrobium Lee Chang Yi Miriam (Den. secundum x Den. smillieae)")</f>
        <v>Dendrobium Lee Chang Yi Miriam (Den. secundum x Den. smillieae)</v>
      </c>
      <c r="B391" s="18" t="s">
        <v>20</v>
      </c>
      <c r="C391" s="19">
        <v>25</v>
      </c>
    </row>
    <row r="392" spans="1:3" ht="15">
      <c r="A392" s="16" t="str">
        <f>HYPERLINK("https://photos.app.goo.gl/w4Ji21Q853B9hJCc7","Dendrobium Mingle's Sapphire (Den. victoriae-reginae x Den. ceraula)")</f>
        <v>Dendrobium Mingle's Sapphire (Den. victoriae-reginae x Den. ceraula)</v>
      </c>
      <c r="B392" s="18" t="s">
        <v>18</v>
      </c>
      <c r="C392" s="19">
        <v>25</v>
      </c>
    </row>
    <row r="393" spans="1:3" ht="15">
      <c r="A393" s="16" t="str">
        <f>HYPERLINK("https://photos.app.goo.gl/SwYLZsmvHgsGjC3NA","Dendrobium Rainbow Dance 'Akazukin Chan' (Den. Kurenai x Den. unicum)")</f>
        <v>Dendrobium Rainbow Dance 'Akazukin Chan' (Den. Kurenai x Den. unicum)</v>
      </c>
      <c r="B393" s="18" t="s">
        <v>18</v>
      </c>
      <c r="C393" s="19">
        <v>20</v>
      </c>
    </row>
    <row r="394" spans="1:3" ht="15">
      <c r="A394" s="16" t="str">
        <f>HYPERLINK("https://photos.app.goo.gl/Dnozv2EKwZDssSYm9","Dendrobium Roongkamol Vejvarut (Den. Dawn Maree x Den. formosum)")</f>
        <v>Dendrobium Roongkamol Vejvarut (Den. Dawn Maree x Den. formosum)</v>
      </c>
      <c r="B394" s="18" t="s">
        <v>18</v>
      </c>
      <c r="C394" s="19">
        <v>20</v>
      </c>
    </row>
    <row r="395" spans="1:3" ht="15">
      <c r="A395" s="16" t="str">
        <f>HYPERLINK("http://bluenanta.com/static/utils/images/hybrid/hyb_000014328_100108943.jpg","Dendrobium Roy Tokunaga (Den. atroviolaceum x Den. johnsoniae)")</f>
        <v>Dendrobium Roy Tokunaga (Den. atroviolaceum x Den. johnsoniae)</v>
      </c>
      <c r="B395" s="18" t="s">
        <v>18</v>
      </c>
      <c r="C395" s="19">
        <v>25</v>
      </c>
    </row>
    <row r="396" spans="1:3" ht="15">
      <c r="A396" s="16" t="str">
        <f>HYPERLINK("https://photos.app.goo.gl/KkCrWWgKuTina4G47","Dendrobium Ueang Phueng (Den. jenkinsii × Den. lindleyi)")</f>
        <v>Dendrobium Ueang Phueng (Den. jenkinsii × Den. lindleyi)</v>
      </c>
      <c r="B396" s="18" t="s">
        <v>18</v>
      </c>
      <c r="C396" s="19">
        <v>20</v>
      </c>
    </row>
    <row r="397" spans="1:3" ht="15">
      <c r="A397" s="16" t="str">
        <f>HYPERLINK("https://photos.app.goo.gl/U2A54xzQja8qEH9h6","Enanthleya Magic Wand (Gcy. Kyoguchi x Ctt. Trick or Treat)")</f>
        <v>Enanthleya Magic Wand (Gcy. Kyoguchi x Ctt. Trick or Treat)</v>
      </c>
      <c r="B397" s="18" t="s">
        <v>18</v>
      </c>
      <c r="C397" s="19">
        <v>25</v>
      </c>
    </row>
    <row r="398" spans="1:3" ht="15">
      <c r="A398" s="16" t="str">
        <f>HYPERLINK("https://photos.app.goo.gl/G8XZBiGKbT5wgQuW6","Epicattleya Dark Fire (Epc. René Marqués × Epi. melanoporphyreum)")</f>
        <v>Epicattleya Dark Fire (Epc. René Marqués × Epi. melanoporphyreum)</v>
      </c>
      <c r="B398" s="18" t="s">
        <v>18</v>
      </c>
      <c r="C398" s="19">
        <v>25</v>
      </c>
    </row>
    <row r="399" spans="1:3" ht="15">
      <c r="A399" s="16" t="str">
        <f>HYPERLINK("http://www.orchid.url.tw/myflowers/hybrids/blchybrid275-1.jpg","Epicattleya René Marqués 'Flamethrower' (Epi. pseudepidendrum x C. Claesiana)")</f>
        <v>Epicattleya René Marqués 'Flamethrower' (Epi. pseudepidendrum x C. Claesiana)</v>
      </c>
      <c r="B399" s="18" t="s">
        <v>20</v>
      </c>
      <c r="C399" s="19">
        <v>25</v>
      </c>
    </row>
    <row r="400" spans="1:3" ht="15">
      <c r="A400" s="16" t="str">
        <f>HYPERLINK("https://photos.app.goo.gl/Jf1t3SdfbAMkeXV28","Epicyclia Serena O'Neill (Epy. Mabel Kanda x Enc. cordigera)")</f>
        <v>Epicyclia Serena O'Neill (Epy. Mabel Kanda x Enc. cordigera)</v>
      </c>
      <c r="B400" s="18" t="s">
        <v>18</v>
      </c>
      <c r="C400" s="19">
        <v>20</v>
      </c>
    </row>
    <row r="401" spans="1:3" ht="15">
      <c r="A401" s="16" t="str">
        <f>HYPERLINK("https://tenshinorchids.com/wp-content/uploads/2018/11/Fdk-After-Dark-Black-Pearl.jpg","Fredclarkeara After Dark 'Black Pearl' (Morm. Painted Desert x Ctsm. Donna Wise)")</f>
        <v>Fredclarkeara After Dark 'Black Pearl' (Morm. Painted Desert x Ctsm. Donna Wise)</v>
      </c>
      <c r="B401" s="18" t="s">
        <v>18</v>
      </c>
      <c r="C401" s="19">
        <v>45</v>
      </c>
    </row>
    <row r="402" spans="1:3" ht="15">
      <c r="A402" s="16" t="str">
        <f>HYPERLINK("https://photos.app.goo.gl/136Qfo1oYQKrFt9p9","Holcostylis M S Sunlight (Holc. flavescens × Rhy. gigantea)")</f>
        <v>Holcostylis M S Sunlight (Holc. flavescens × Rhy. gigantea)</v>
      </c>
      <c r="B402" s="18" t="s">
        <v>18</v>
      </c>
      <c r="C402" s="19">
        <v>25</v>
      </c>
    </row>
    <row r="403" spans="1:3" ht="15">
      <c r="A403" s="16" t="str">
        <f>HYPERLINK("https://tenshinorchids.com/wp-content/uploads/2018/11/kuhniorum-x-xanthura.jpg","Masd. kuhniorum x Masd. xanthura")</f>
        <v>Masd. kuhniorum x Masd. xanthura</v>
      </c>
      <c r="B403" s="18" t="s">
        <v>18</v>
      </c>
      <c r="C403" s="19">
        <v>25</v>
      </c>
    </row>
    <row r="404" spans="1:3" ht="15">
      <c r="A404" s="16" t="str">
        <f>HYPERLINK("https://tenshinorchids.com/wp-content/uploads/2018/11/vargasii-x-mejiana.jpg","Masd. vargasii x Masd. mejiana")</f>
        <v>Masd. vargasii x Masd. mejiana</v>
      </c>
      <c r="B404" s="18" t="s">
        <v>18</v>
      </c>
      <c r="C404" s="19">
        <v>25</v>
      </c>
    </row>
    <row r="405" spans="1:3" ht="15">
      <c r="A405" s="16" t="str">
        <f>HYPERLINK("https://tenshinorchids.com/wp-content/uploads/2018/11/weberbaueri-x-tonduzii.jpg","Masd. weberbaueri x Masd. tonduzii")</f>
        <v>Masd. weberbaueri x Masd. tonduzii</v>
      </c>
      <c r="B405" s="18" t="s">
        <v>18</v>
      </c>
      <c r="C405" s="19">
        <v>25</v>
      </c>
    </row>
    <row r="406" spans="1:3" ht="15">
      <c r="A406" s="16" t="str">
        <f>HYPERLINK("https://tenshinorchids.com/wp-content/uploads/2018/11/weberbaueri-x-xanthura.jpg","Masd. weberbaueri x Masd. xanthura")</f>
        <v>Masd. weberbaueri x Masd. xanthura</v>
      </c>
      <c r="B406" s="18" t="s">
        <v>18</v>
      </c>
      <c r="C406" s="19">
        <v>25</v>
      </c>
    </row>
    <row r="407" spans="1:3" ht="15">
      <c r="A407" s="16" t="str">
        <f>HYPERLINK("http://www.orchid.url.tw/myflowers/hybrids/blchybrid248.htm","Myrmecatavola Frances Fox (Bc. Polka Dot x Myp. tibicinis)")</f>
        <v>Myrmecatavola Frances Fox (Bc. Polka Dot x Myp. tibicinis)</v>
      </c>
      <c r="B407" s="18" t="s">
        <v>18</v>
      </c>
      <c r="C407" s="19">
        <v>25</v>
      </c>
    </row>
    <row r="408" spans="1:3" ht="15">
      <c r="A408" s="16" t="str">
        <f>HYPERLINK("http://bluenanta.com/static/utils/images/hybrid/hyb_000027492_100974503.jpg","Papilionanda Pink Fairy (V. falcata x Ple. teres)")</f>
        <v>Papilionanda Pink Fairy (V. falcata x Ple. teres)</v>
      </c>
      <c r="B408" s="18" t="s">
        <v>18</v>
      </c>
      <c r="C408" s="19">
        <v>25</v>
      </c>
    </row>
    <row r="409" spans="1:3" ht="15">
      <c r="A409" s="16" t="str">
        <f>HYPERLINK("https://photos.app.goo.gl/53fgkpNgeN7kBwdy8","Phalaenopsis Little One (Phal. hygrochila x Phal. japonica)")</f>
        <v>Phalaenopsis Little One (Phal. hygrochila x Phal. japonica)</v>
      </c>
      <c r="B409" s="18" t="s">
        <v>18</v>
      </c>
      <c r="C409" s="19">
        <v>25</v>
      </c>
    </row>
    <row r="410" spans="1:3" ht="15">
      <c r="A410" s="16" t="str">
        <f>HYPERLINK("https://photos.app.goo.gl/u5P899ozxRqkiUf68","Procatavola Wufong Jade (Cattleychea Siam Jade x B. nodosa)")</f>
        <v>Procatavola Wufong Jade (Cattleychea Siam Jade x B. nodosa)</v>
      </c>
      <c r="B410" s="18" t="s">
        <v>18</v>
      </c>
      <c r="C410" s="19">
        <v>20</v>
      </c>
    </row>
    <row r="411" spans="1:3" ht="15">
      <c r="A411" s="16" t="str">
        <f>HYPERLINK("https://photos.app.goo.gl/SGYM6qnimjLBFvvN6","Psychopsis Kalihi f. alba (Pyp. krameriana x Pyp. papilio)")</f>
        <v>Psychopsis Kalihi f. alba (Pyp. krameriana x Pyp. papilio)</v>
      </c>
      <c r="B411" s="18" t="s">
        <v>18</v>
      </c>
      <c r="C411" s="19">
        <v>25</v>
      </c>
    </row>
    <row r="412" spans="1:3" ht="15">
      <c r="A412" s="16" t="str">
        <f>HYPERLINK("https://tenshinorchids.com/wp-content/uploads/2018/11/Pyp-Mariposa-normal.jpg","Psychopsis Mariposa (Pyp. papilio and Pyp. Kalihi)")</f>
        <v>Psychopsis Mariposa (Pyp. papilio and Pyp. Kalihi)</v>
      </c>
      <c r="B412" s="18" t="s">
        <v>18</v>
      </c>
      <c r="C412" s="19">
        <v>25</v>
      </c>
    </row>
    <row r="413" spans="1:3" ht="15">
      <c r="A413" s="16" t="str">
        <f>HYPERLINK("https://photos.app.goo.gl/H7inoBodJEzsf2859","Psychopsis Mariposa, peloric (Pyp. papilio and Pyp. Kalihi)")</f>
        <v>Psychopsis Mariposa, peloric (Pyp. papilio and Pyp. Kalihi)</v>
      </c>
      <c r="B413" s="18" t="s">
        <v>18</v>
      </c>
      <c r="C413" s="19">
        <v>25</v>
      </c>
    </row>
    <row r="414" spans="1:3" ht="15">
      <c r="A414" s="16" t="str">
        <f>HYPERLINK("https://photos.app.goo.gl/T8KAEXta9WHxUe7A9","Rhyncattleanthe Burana Beauty (Rth. Netrasiri Starbright x C. Netrasiri Beauty)")</f>
        <v>Rhyncattleanthe Burana Beauty (Rth. Netrasiri Starbright x C. Netrasiri Beauty)</v>
      </c>
      <c r="B414" s="18" t="s">
        <v>18</v>
      </c>
      <c r="C414" s="19">
        <v>25</v>
      </c>
    </row>
    <row r="415" spans="1:3" ht="15">
      <c r="A415" s="16" t="str">
        <f>HYPERLINK("http://hybridorchid.la.coocan.jp/Rhyncattleanthe/Rhyncattleanthe%20Shinfong%20Dawn/DSC02530.JPG","Rhyncattleanthe Shinfong Dawn (C. Koolau Seagulls x Rth. Love Passion)")</f>
        <v>Rhyncattleanthe Shinfong Dawn (C. Koolau Seagulls x Rth. Love Passion)</v>
      </c>
      <c r="B415" s="18" t="s">
        <v>18</v>
      </c>
      <c r="C415" s="19">
        <v>20</v>
      </c>
    </row>
    <row r="416" spans="1:3" ht="15">
      <c r="A416" s="16" t="str">
        <f>HYPERLINK("https://photos.app.goo.gl/iSk3PxCAadEC5a8G8","Rhyncattleanthe Young-Min Orange (Rth. Viola Nuggett x Ctt. Trick or Treat)")</f>
        <v>Rhyncattleanthe Young-Min Orange (Rth. Viola Nuggett x Ctt. Trick or Treat)</v>
      </c>
      <c r="B416" s="18" t="s">
        <v>18</v>
      </c>
      <c r="C416" s="19">
        <v>20</v>
      </c>
    </row>
    <row r="417" spans="1:23" ht="15">
      <c r="A417" s="16" t="str">
        <f>HYPERLINK("http://www.orchid.url.tw/myflowers/hybrids/blchybrid962.jpg","Rhyncholaelia Aristocrat (Rl. digbyana x Rl. glauca)")</f>
        <v>Rhyncholaelia Aristocrat (Rl. digbyana x Rl. glauca)</v>
      </c>
      <c r="B417" s="18" t="s">
        <v>18</v>
      </c>
      <c r="C417" s="19">
        <v>20</v>
      </c>
    </row>
    <row r="418" spans="1:23" ht="15">
      <c r="A418" s="16" t="str">
        <f>HYPERLINK("https://photos.app.goo.gl/HYCe2fYfX9wKrybe9","Rhyncholaeliocattleya Golf Green (C. Moscombe x Rl. digbyana)")</f>
        <v>Rhyncholaeliocattleya Golf Green (C. Moscombe x Rl. digbyana)</v>
      </c>
      <c r="B418" s="18" t="s">
        <v>18</v>
      </c>
      <c r="C418" s="19">
        <v>25</v>
      </c>
    </row>
    <row r="419" spans="1:23" ht="15">
      <c r="A419" s="16" t="str">
        <f>HYPERLINK("http://www.orchid.url.tw/myflowers/hybrids/blchybrid12-1.jpg","Rhyncholaeliocattleya Haw Yuan Gold (Rlc. Lemon Tree x Rlc. Tassie Barbero)")</f>
        <v>Rhyncholaeliocattleya Haw Yuan Gold (Rlc. Lemon Tree x Rlc. Tassie Barbero)</v>
      </c>
      <c r="B419" s="18" t="s">
        <v>18</v>
      </c>
      <c r="C419" s="19">
        <v>20</v>
      </c>
    </row>
    <row r="420" spans="1:23" ht="15">
      <c r="A420" s="16" t="str">
        <f>HYPERLINK("https://tenshinorchids.com/wp-content/uploads/2018/11/Rlc-King-of-Taiwan.jpg","Rhyncholaeliocattleya King of Taiwan (Rlc. Bryce Canyon x Rlc. Purple Ruby) ")</f>
        <v xml:space="preserve">Rhyncholaeliocattleya King of Taiwan (Rlc. Bryce Canyon x Rlc. Purple Ruby) </v>
      </c>
      <c r="B420" s="18" t="s">
        <v>18</v>
      </c>
      <c r="C420" s="19">
        <v>20</v>
      </c>
    </row>
    <row r="421" spans="1:23" ht="15">
      <c r="A421" s="16" t="str">
        <f>HYPERLINK("https://tenshinorchids.com/wp-content/uploads/2018/11/Rlc-Li-Jiuan-Dancer-302.jpg","Rhyncholaeliocattleya Li Jiuan Dancer (C. Time Finney x Rlc. Elegant Dancer)")</f>
        <v>Rhyncholaeliocattleya Li Jiuan Dancer (C. Time Finney x Rlc. Elegant Dancer)</v>
      </c>
      <c r="B421" s="18" t="s">
        <v>18</v>
      </c>
      <c r="C421" s="19">
        <v>20</v>
      </c>
    </row>
    <row r="422" spans="1:23" ht="15">
      <c r="A422" s="16" t="str">
        <f>HYPERLINK("https://tenshinorchids.com/wp-content/uploads/2018/11/Rlc-Liou-Hope.jpg","Rhyncholaeliocattleya Liou Hope (Rlc. Li Cheng Mary x Rlc. Mount Hood)")</f>
        <v>Rhyncholaeliocattleya Liou Hope (Rlc. Li Cheng Mary x Rlc. Mount Hood)</v>
      </c>
      <c r="B422" s="18" t="s">
        <v>18</v>
      </c>
      <c r="C422" s="19">
        <v>20</v>
      </c>
    </row>
    <row r="423" spans="1:23" ht="15">
      <c r="A423" s="16" t="str">
        <f>HYPERLINK("https://photos.app.goo.gl/GRdoFTWoXYiwU7sDA","Rhyncholaeliocattleya Pink Empress 'Ju-Shen' (Rlc. Mount Hood x Rlc. Bryce Canyon)")</f>
        <v>Rhyncholaeliocattleya Pink Empress 'Ju-Shen' (Rlc. Mount Hood x Rlc. Bryce Canyon)</v>
      </c>
      <c r="B423" s="18" t="s">
        <v>18</v>
      </c>
      <c r="C423" s="19">
        <v>20</v>
      </c>
    </row>
    <row r="424" spans="1:23" ht="15">
      <c r="A424" s="16" t="str">
        <f>HYPERLINK("https://tenshinorchids.com/wp-content/uploads/2018/11/Rlc-Sungya-Green.jpg","Rhyncholaeliocattleya Sung Ya Green (Rlc. Ports of Paradise x Rlc. Meadow Morn)")</f>
        <v>Rhyncholaeliocattleya Sung Ya Green (Rlc. Ports of Paradise x Rlc. Meadow Morn)</v>
      </c>
      <c r="B424" s="18" t="s">
        <v>18</v>
      </c>
      <c r="C424" s="19">
        <v>20</v>
      </c>
    </row>
    <row r="425" spans="1:23" ht="15">
      <c r="A425" s="16" t="str">
        <f>HYPERLINK("https://photos.app.goo.gl/8JE9pvS5fi778Y8q9","Rhyncholaeliocattleya Taiwan Fantasy (Rlc. Taiwan Chaffinch Gold x Rlc. Tzeng-Wen Beauty)")</f>
        <v>Rhyncholaeliocattleya Taiwan Fantasy (Rlc. Taiwan Chaffinch Gold x Rlc. Tzeng-Wen Beauty)</v>
      </c>
      <c r="B425" s="18" t="s">
        <v>18</v>
      </c>
      <c r="C425" s="19">
        <v>20</v>
      </c>
    </row>
    <row r="426" spans="1:23" ht="15">
      <c r="A426" s="16" t="str">
        <f>HYPERLINK("https://photos.app.goo.gl/Uz2gv9E8F9QUWS528","Rhyncholaeliocattleya Village Chief North (C. Village Chief Cuba × Rlc. Memoria Helen Brown)")</f>
        <v>Rhyncholaeliocattleya Village Chief North (C. Village Chief Cuba × Rlc. Memoria Helen Brown)</v>
      </c>
      <c r="B426" s="18" t="s">
        <v>18</v>
      </c>
      <c r="C426" s="19">
        <v>20</v>
      </c>
    </row>
    <row r="427" spans="1:23" ht="15">
      <c r="A427" s="16" t="str">
        <f>HYPERLINK("https://photos.app.goo.gl/8sdGTWNz4qB6qQRs5","Rth. Angel Voice 'Big Mama' (Rth. Shinfong Little Love x C. coccinea)")</f>
        <v>Rth. Angel Voice 'Big Mama' (Rth. Shinfong Little Love x C. coccinea)</v>
      </c>
      <c r="B427" s="18" t="s">
        <v>18</v>
      </c>
      <c r="C427" s="19">
        <v>20</v>
      </c>
    </row>
    <row r="428" spans="1:23" ht="15">
      <c r="A428" s="33" t="str">
        <f>HYPERLINK("https://tenshinorchids.com/wp-content/uploads/2018/11/Rth.-Shinfong-Little-Sun-Young-Min-Golden-Boy.jpg","Rth. Shinfong Little Sun (Ctt. Golden Girl x Rth. Taida Love Star)")</f>
        <v>Rth. Shinfong Little Sun (Ctt. Golden Girl x Rth. Taida Love Star)</v>
      </c>
      <c r="B428" s="25" t="s">
        <v>18</v>
      </c>
      <c r="C428" s="19">
        <v>20</v>
      </c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ht="15">
      <c r="A429" s="33" t="str">
        <f>HYPERLINK("https://tenshinorchids.com/wp-content/uploads/2018/11/sergioara_yokosuka_story.jpg","Sergioara Yokosuka Story 'Little Oriole' (Rth. Free Spirit x Epc. René Marqués)")</f>
        <v>Sergioara Yokosuka Story 'Little Oriole' (Rth. Free Spirit x Epc. René Marqués)</v>
      </c>
      <c r="B429" s="25" t="s">
        <v>18</v>
      </c>
      <c r="C429" s="19">
        <v>25</v>
      </c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</row>
    <row r="430" spans="1:23" ht="15">
      <c r="A430" s="33" t="str">
        <f>HYPERLINK("https://photos.app.goo.gl/K5xtVcLmDepzks1u8","Vanda Peaches (V. falcata x V. curvifolium)")</f>
        <v>Vanda Peaches (V. falcata x V. curvifolium)</v>
      </c>
      <c r="B430" s="25" t="s">
        <v>18</v>
      </c>
      <c r="C430" s="19">
        <v>25</v>
      </c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</row>
    <row r="431" spans="1:23" ht="15">
      <c r="A431" s="33" t="str">
        <f>HYPERLINK("https://photos.app.goo.gl/M1nRHvKT75PWTBkV7","Vandachostylis Lou Sneary (V. falcata x Rhy. coelestis)")</f>
        <v>Vandachostylis Lou Sneary (V. falcata x Rhy. coelestis)</v>
      </c>
      <c r="B431" s="25" t="s">
        <v>18</v>
      </c>
      <c r="C431" s="19">
        <v>25</v>
      </c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</row>
    <row r="432" spans="1:23" ht="15">
      <c r="A432" s="33" t="str">
        <f>HYPERLINK("https://photos.app.goo.gl/zetzXtLGsKgfsUFE7","Vandachostylis Rainbow Stars 'Blue' (V. falcata × V. Charm)")</f>
        <v>Vandachostylis Rainbow Stars 'Blue' (V. falcata × V. Charm)</v>
      </c>
      <c r="B432" s="25" t="s">
        <v>18</v>
      </c>
      <c r="C432" s="19">
        <v>30</v>
      </c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</row>
    <row r="433" spans="1:23" ht="15">
      <c r="A433" s="33" t="str">
        <f>HYPERLINK("https://photos.app.goo.gl/NZR5vaa5g9HBGZsk9","Vandaenopsis Pulcherrimin (Phal. pulcherrima x V. miniata)")</f>
        <v>Vandaenopsis Pulcherrimin (Phal. pulcherrima x V. miniata)</v>
      </c>
      <c r="B433" s="25" t="s">
        <v>18</v>
      </c>
      <c r="C433" s="19">
        <v>30</v>
      </c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</row>
    <row r="434" spans="1:23" ht="15">
      <c r="A434" s="33" t="str">
        <f>HYPERLINK("https://photos.app.goo.gl/KXeCxzJK8byFPej37","Vaughnara TLDC Fan Thursday (Epc. René Marqués x Rl. digbyana)")</f>
        <v>Vaughnara TLDC Fan Thursday (Epc. René Marqués x Rl. digbyana)</v>
      </c>
      <c r="B434" s="25" t="s">
        <v>18</v>
      </c>
      <c r="C434" s="19">
        <v>25</v>
      </c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</row>
    <row r="435" spans="1:23" ht="15">
      <c r="A435" s="33" t="str">
        <f>HYPERLINK("http://bluenanta.com/static/utils/images/hybrid/hyb_000152565_100135845.jpg","Zygolum Louisendorf (Zspm. labiosum x Z. Artur Elle)")</f>
        <v>Zygolum Louisendorf (Zspm. labiosum x Z. Artur Elle)</v>
      </c>
      <c r="B435" s="25" t="s">
        <v>18</v>
      </c>
      <c r="C435" s="19">
        <v>30</v>
      </c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</row>
    <row r="436" spans="1:23" ht="15">
      <c r="A436" s="35"/>
      <c r="B436" s="36"/>
      <c r="C436" s="29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</row>
    <row r="437" spans="1:23" ht="15">
      <c r="A437" s="37" t="s">
        <v>40</v>
      </c>
      <c r="B437" s="38" t="s">
        <v>14</v>
      </c>
      <c r="C437" s="32" t="s">
        <v>17</v>
      </c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</row>
    <row r="438" spans="1:23" ht="15">
      <c r="A438" s="33" t="str">
        <f>HYPERLINK("https://www.phals.net/amabilis/2012/12ph0403.jpg","Phal. amabilis f. aurea x Phal. stobartiana")</f>
        <v>Phal. amabilis f. aurea x Phal. stobartiana</v>
      </c>
      <c r="B438" s="25" t="s">
        <v>20</v>
      </c>
      <c r="C438" s="19">
        <v>35</v>
      </c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</row>
    <row r="439" spans="1:23" ht="15">
      <c r="A439" s="33" t="str">
        <f>HYPERLINK("https://photos.app.goo.gl/av3qjKcv7yPwSaus6","Phal. bellina f. coerulea x Phal. Kung's Red Cherry")</f>
        <v>Phal. bellina f. coerulea x Phal. Kung's Red Cherry</v>
      </c>
      <c r="B439" s="25" t="s">
        <v>18</v>
      </c>
      <c r="C439" s="19">
        <v>35</v>
      </c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</row>
    <row r="440" spans="1:23" ht="15">
      <c r="A440" s="33" t="str">
        <f>HYPERLINK("https://www.phals.net/maculata/2015/15ph0208.jpg","Phal. maculata x Phal. finleyi")</f>
        <v>Phal. maculata x Phal. finleyi</v>
      </c>
      <c r="B440" s="25" t="s">
        <v>20</v>
      </c>
      <c r="C440" s="19">
        <v>35</v>
      </c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</row>
    <row r="441" spans="1:23" ht="15">
      <c r="A441" s="33" t="str">
        <f>HYPERLINK("https://photos.app.goo.gl/ReGE3rFCntKjpYnm9","Phal. Mituo Sun x Phal. AL Sun Tiger")</f>
        <v>Phal. Mituo Sun x Phal. AL Sun Tiger</v>
      </c>
      <c r="B441" s="25" t="s">
        <v>18</v>
      </c>
      <c r="C441" s="19">
        <v>35</v>
      </c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</row>
    <row r="442" spans="1:23" ht="15">
      <c r="A442" s="33" t="str">
        <f>HYPERLINK("https://photos.app.goo.gl/7WEofq9kowi6b5qv7","Phal. Nobby's Christmas Pink x Phal. Silbergrube")</f>
        <v>Phal. Nobby's Christmas Pink x Phal. Silbergrube</v>
      </c>
      <c r="B442" s="25" t="s">
        <v>18</v>
      </c>
      <c r="C442" s="19">
        <v>25</v>
      </c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</row>
    <row r="443" spans="1:23" ht="15">
      <c r="A443" s="33" t="str">
        <f>HYPERLINK("https://photos.app.goo.gl/arJiekaMLNVT2RTp6","Phal. Silbergrube x Phal. javanica")</f>
        <v>Phal. Silbergrube x Phal. javanica</v>
      </c>
      <c r="B443" s="25" t="s">
        <v>18</v>
      </c>
      <c r="C443" s="19">
        <v>35</v>
      </c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</row>
    <row r="444" spans="1:23" ht="15">
      <c r="A444" s="33" t="str">
        <f>HYPERLINK("https://photos.app.goo.gl/F3bmvHb2bYQr4vtYA","Phal. Venus x Phal. lindenii")</f>
        <v>Phal. Venus x Phal. lindenii</v>
      </c>
      <c r="B444" s="25" t="s">
        <v>18</v>
      </c>
      <c r="C444" s="19">
        <v>35</v>
      </c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</row>
    <row r="445" spans="1:23" ht="15">
      <c r="A445" s="33" t="str">
        <f>HYPERLINK("https://photos.app.goo.gl/tC2faQXz43MP9yKG6","Phal. Zuma's Pixie x Phal. Taida Pearl")</f>
        <v>Phal. Zuma's Pixie x Phal. Taida Pearl</v>
      </c>
      <c r="B445" s="25" t="s">
        <v>18</v>
      </c>
      <c r="C445" s="19">
        <v>35</v>
      </c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</row>
    <row r="446" spans="1:23" ht="15">
      <c r="A446" s="33" t="str">
        <f>HYPERLINK("https://photos.app.goo.gl/5J4PAqiC2NEbVHe48","Phalaenopsis Amel Tobia (Phal. violacea f. indigo x Phal. pallens f. alba)")</f>
        <v>Phalaenopsis Amel Tobia (Phal. violacea f. indigo x Phal. pallens f. alba)</v>
      </c>
      <c r="B446" s="25" t="s">
        <v>18</v>
      </c>
      <c r="C446" s="19">
        <v>35</v>
      </c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</row>
    <row r="447" spans="1:23" ht="15">
      <c r="A447" s="33" t="str">
        <f>HYPERLINK("https://photos.app.goo.gl/gRLmhD421CXz5RqB9","Phalaenopsis Algicora (Phal. cornu-cervi x Phal. hieroglyphica)")</f>
        <v>Phalaenopsis Algicora (Phal. cornu-cervi x Phal. hieroglyphica)</v>
      </c>
      <c r="B447" s="25" t="s">
        <v>18</v>
      </c>
      <c r="C447" s="19">
        <v>35</v>
      </c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</row>
    <row r="448" spans="1:23" ht="15">
      <c r="A448" s="33" t="str">
        <f>HYPERLINK("https://photos.app.goo.gl/5dNDEcYBtuZuqhZYA","Phalaenopsis Artemis (Phal. amabilis f. aurea x Phal. equestris f. aurea 4N)")</f>
        <v>Phalaenopsis Artemis (Phal. amabilis f. aurea x Phal. equestris f. aurea 4N)</v>
      </c>
      <c r="B448" s="25" t="s">
        <v>18</v>
      </c>
      <c r="C448" s="19">
        <v>35</v>
      </c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</row>
    <row r="449" spans="1:23" ht="15">
      <c r="A449" s="33" t="str">
        <f>HYPERLINK("https://photos.app.goo.gl/d8oSwFMdwLyxLrsJ6","Phalaenopsis Brother Glory (Phal. Natasha x Phal. amboinensis)")</f>
        <v>Phalaenopsis Brother Glory (Phal. Natasha x Phal. amboinensis)</v>
      </c>
      <c r="B449" s="25" t="s">
        <v>20</v>
      </c>
      <c r="C449" s="19">
        <v>40</v>
      </c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</row>
    <row r="450" spans="1:23" ht="15">
      <c r="A450" s="33" t="str">
        <f>HYPERLINK("https://photos.app.goo.gl/1P1N9N5WzUZTxvXVA","Phalaenopsis Chienlung Luedgiana (Phal. corningiana x Phal. lueddemanniana 'Beauty Moon')")</f>
        <v>Phalaenopsis Chienlung Luedgiana (Phal. corningiana x Phal. lueddemanniana 'Beauty Moon')</v>
      </c>
      <c r="B450" s="25" t="s">
        <v>18</v>
      </c>
      <c r="C450" s="19">
        <v>35</v>
      </c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</row>
    <row r="451" spans="1:23" ht="15">
      <c r="A451" s="33" t="str">
        <f>HYPERLINK("https://photos.app.goo.gl/RX2XNCHwsEa4Pd5B7","Phalaenopsis David Lim (Phal. gigantea x Phal. amboinensis)")</f>
        <v>Phalaenopsis David Lim (Phal. gigantea x Phal. amboinensis)</v>
      </c>
      <c r="B451" s="25" t="s">
        <v>18</v>
      </c>
      <c r="C451" s="19">
        <v>45</v>
      </c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</row>
    <row r="452" spans="1:23" ht="15">
      <c r="A452" s="33" t="str">
        <f>HYPERLINK("https://photos.app.goo.gl/TvpTSErCM5MwgShb6","Phalaenopsis Ember (Phal. Mahalo x Phal. George Vasquez)")</f>
        <v>Phalaenopsis Ember (Phal. Mahalo x Phal. George Vasquez)</v>
      </c>
      <c r="B452" s="25" t="s">
        <v>18</v>
      </c>
      <c r="C452" s="19">
        <v>35</v>
      </c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</row>
    <row r="453" spans="1:23" ht="15">
      <c r="A453" s="33" t="str">
        <f>HYPERLINK("https://photos.app.goo.gl/h9Z6w5PC8fJwVGwS8","Phalaenopsis Germaine Vincent (Phal. speciosa x Phal. violacea f. indigo)")</f>
        <v>Phalaenopsis Germaine Vincent (Phal. speciosa x Phal. violacea f. indigo)</v>
      </c>
      <c r="B453" s="25" t="s">
        <v>18</v>
      </c>
      <c r="C453" s="19">
        <v>35</v>
      </c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</row>
    <row r="454" spans="1:23" ht="15">
      <c r="A454" s="33" t="str">
        <f>HYPERLINK("https://photos.app.goo.gl/62YDoKhpvUfKZosy8","Phalaenopsis Haur Jin Princess (Phal. Haur Jin Diamond x Phal. Dou-dii Golden Princess)")</f>
        <v>Phalaenopsis Haur Jin Princess (Phal. Haur Jin Diamond x Phal. Dou-dii Golden Princess)</v>
      </c>
      <c r="B454" s="25" t="s">
        <v>18</v>
      </c>
      <c r="C454" s="19">
        <v>35</v>
      </c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</row>
    <row r="455" spans="1:23" ht="15">
      <c r="A455" s="33" t="str">
        <f>HYPERLINK("https://photos.app.goo.gl/gJiJDtgogygAYGeRA","Phalaenopsis Jennifer Palermo (Phal. tetraspis f. alba x Phal. violacea f. indigo)")</f>
        <v>Phalaenopsis Jennifer Palermo (Phal. tetraspis f. alba x Phal. violacea f. indigo)</v>
      </c>
      <c r="B455" s="25" t="s">
        <v>18</v>
      </c>
      <c r="C455" s="19">
        <v>35</v>
      </c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</row>
    <row r="456" spans="1:23" ht="15">
      <c r="A456" s="33" t="str">
        <f>HYPERLINK("https://photos.app.goo.gl/hUv75vsVSrpSafFc7","Phalaenopsis Jiaho Blueberry (Phal. Samera f. coerulea x Phal. equestris f. coerulea)")</f>
        <v>Phalaenopsis Jiaho Blueberry (Phal. Samera f. coerulea x Phal. equestris f. coerulea)</v>
      </c>
      <c r="B456" s="25" t="s">
        <v>20</v>
      </c>
      <c r="C456" s="19">
        <v>35</v>
      </c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</row>
    <row r="457" spans="1:23" ht="15">
      <c r="A457" s="33" t="str">
        <f>HYPERLINK("https://photos.app.goo.gl/oz5z2CqHrpRPNXYF7","Phalaenopsis Jong's Red Son (Phal. Yuda Blood Red x Phal. Dotty Woodson)")</f>
        <v>Phalaenopsis Jong's Red Son (Phal. Yuda Blood Red x Phal. Dotty Woodson)</v>
      </c>
      <c r="B457" s="25" t="s">
        <v>18</v>
      </c>
      <c r="C457" s="19">
        <v>35</v>
      </c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</row>
    <row r="458" spans="1:23" ht="15">
      <c r="A458" s="33" t="str">
        <f>HYPERLINK("https://photos.app.goo.gl/CfdaNs6cPQ6pSU9w5","Phalaenopsis LD Gigan Sun (Phal. Mituo Sun x Phal. gigantea)")</f>
        <v>Phalaenopsis LD Gigan Sun (Phal. Mituo Sun x Phal. gigantea)</v>
      </c>
      <c r="B458" s="25" t="s">
        <v>18</v>
      </c>
      <c r="C458" s="19">
        <v>45</v>
      </c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</row>
    <row r="459" spans="1:23" ht="15">
      <c r="A459" s="33" t="str">
        <f>HYPERLINK("https://photos.app.goo.gl/bHgFaYcjnbyPVm3N8","Phalaenopsis Li Sun High (Phal. mariae f. flava x Phal. tetraspis f. alba)")</f>
        <v>Phalaenopsis Li Sun High (Phal. mariae f. flava x Phal. tetraspis f. alba)</v>
      </c>
      <c r="B459" s="25" t="s">
        <v>18</v>
      </c>
      <c r="C459" s="19">
        <v>35</v>
      </c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</row>
    <row r="460" spans="1:23" ht="15">
      <c r="A460" s="33" t="str">
        <f>HYPERLINK("https://photos.app.goo.gl/4dQUT4ThJwnN8Z3o9","Phalaenopsis Liu's Yellow Star Dust (Phal. Caribbean Sunset × Phal. finleyi)")</f>
        <v>Phalaenopsis Liu's Yellow Star Dust (Phal. Caribbean Sunset × Phal. finleyi)</v>
      </c>
      <c r="B460" s="25" t="s">
        <v>18</v>
      </c>
      <c r="C460" s="19">
        <v>35</v>
      </c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</row>
    <row r="461" spans="1:23" ht="15">
      <c r="A461" s="33" t="str">
        <f>HYPERLINK("https://photos.app.goo.gl/DfMyojgBWGsQbWZX8","Phalaenopsis Matthew Chen (Phal. Penang Girl x Phal. violacea indigo)")</f>
        <v>Phalaenopsis Matthew Chen (Phal. Penang Girl x Phal. violacea indigo)</v>
      </c>
      <c r="B461" s="25" t="s">
        <v>18</v>
      </c>
      <c r="C461" s="19">
        <v>35</v>
      </c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</row>
    <row r="462" spans="1:23" ht="15">
      <c r="A462" s="33" t="str">
        <f>HYPERLINK("https://photos.app.goo.gl/j2oMy6zQT3mxF2iv7","Phalaenopsis Memoria Val Rettig (Phal. Anna-Larati Soekardi × Phal. pulcherrima)")</f>
        <v>Phalaenopsis Memoria Val Rettig (Phal. Anna-Larati Soekardi × Phal. pulcherrima)</v>
      </c>
      <c r="B462" s="25" t="s">
        <v>18</v>
      </c>
      <c r="C462" s="19">
        <v>35</v>
      </c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</row>
    <row r="463" spans="1:23" ht="15">
      <c r="A463" s="33" t="str">
        <f>HYPERLINK("https://photos.app.goo.gl/wRtFXA6xBqPQb5jL7","Phalaenopsis Mok Choi Yew (Phal. gigantea x Phal. violacea)")</f>
        <v>Phalaenopsis Mok Choi Yew (Phal. gigantea x Phal. violacea)</v>
      </c>
      <c r="B463" s="25" t="s">
        <v>18</v>
      </c>
      <c r="C463" s="19">
        <v>45</v>
      </c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</row>
    <row r="464" spans="1:23" ht="15">
      <c r="A464" s="33" t="str">
        <f>HYPERLINK("https://photos.app.goo.gl/np2K9VCYb9m69kZ1A","Phalaenopsis Pale Face (Phal. lindenii × Phal. deliciosa subsp. hookeriana)")</f>
        <v>Phalaenopsis Pale Face (Phal. lindenii × Phal. deliciosa subsp. hookeriana)</v>
      </c>
      <c r="B464" s="25" t="s">
        <v>20</v>
      </c>
      <c r="C464" s="19">
        <v>35</v>
      </c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</row>
    <row r="465" spans="1:23" ht="15">
      <c r="A465" s="33" t="str">
        <f>HYPERLINK("https://photos.app.goo.gl/YgMJiTBeYvgLEfWg8","Phalaenopsis Penang Violacea f. alba (Phal. violacea x Phal. micholitzii)")</f>
        <v>Phalaenopsis Penang Violacea f. alba (Phal. violacea x Phal. micholitzii)</v>
      </c>
      <c r="B465" s="25" t="s">
        <v>18</v>
      </c>
      <c r="C465" s="19">
        <v>35</v>
      </c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</row>
    <row r="466" spans="1:23" ht="15">
      <c r="A466" s="21" t="str">
        <f>HYPERLINK("http://bluenanta.com/static/utils/images/hybrid/hyb_000018252_100069547.jpg","Phalaenopsis Princess Kaiulani (Phal. amboinensis x Phal. violacea f. indigo)")</f>
        <v>Phalaenopsis Princess Kaiulani (Phal. amboinensis x Phal. violacea f. indigo)</v>
      </c>
      <c r="B466" s="25" t="s">
        <v>18</v>
      </c>
      <c r="C466" s="19">
        <v>35</v>
      </c>
    </row>
    <row r="467" spans="1:23" ht="15">
      <c r="A467" s="21" t="str">
        <f>HYPERLINK("https://photos.app.goo.gl/jg2heqMtgBoS7iSu6","Phalaenopsis Samera (Phal. bellina x Phal. violacea)")</f>
        <v>Phalaenopsis Samera (Phal. bellina x Phal. violacea)</v>
      </c>
      <c r="B467" s="25" t="s">
        <v>18</v>
      </c>
      <c r="C467" s="19">
        <v>30</v>
      </c>
    </row>
    <row r="468" spans="1:23" ht="15">
      <c r="A468" s="21" t="str">
        <f>HYPERLINK("https://photos.app.goo.gl/2qYX1FDUE2PkzJvZA","Phalaenopsis San Shia Appendo (Phal. appendiculata x Phal. pulcherrima)")</f>
        <v>Phalaenopsis San Shia Appendo (Phal. appendiculata x Phal. pulcherrima)</v>
      </c>
      <c r="B468" s="25" t="s">
        <v>18</v>
      </c>
      <c r="C468" s="19">
        <v>25</v>
      </c>
    </row>
    <row r="469" spans="1:23" ht="15">
      <c r="A469" s="21" t="str">
        <f>HYPERLINK("https://photos.app.goo.gl/4TDFNqFxv5GifMNx7","Phalaenopsis Shingher Pure Love (Phal. Su-An Super Star x Phal. violacea)")</f>
        <v>Phalaenopsis Shingher Pure Love (Phal. Su-An Super Star x Phal. violacea)</v>
      </c>
      <c r="B469" s="25" t="s">
        <v>18</v>
      </c>
      <c r="C469" s="19">
        <v>35</v>
      </c>
    </row>
    <row r="470" spans="1:23" ht="15">
      <c r="A470" s="21" t="str">
        <f>HYPERLINK("https://photos.app.goo.gl/mTnBoDc6mJCLcf1G7","Phalaenopsis Siam Treasure (Phal. lowii x Phal. pulcherrima)")</f>
        <v>Phalaenopsis Siam Treasure (Phal. lowii x Phal. pulcherrima)</v>
      </c>
      <c r="B470" s="25" t="s">
        <v>20</v>
      </c>
      <c r="C470" s="19">
        <v>35</v>
      </c>
    </row>
    <row r="471" spans="1:23" ht="15">
      <c r="A471" s="21" t="str">
        <f>HYPERLINK("https://photos.app.goo.gl/kzYLE8a56nS3jm1P8","Phalaenopsis Solomina (Phal. schilleriana x Phal. micholitzii)")</f>
        <v>Phalaenopsis Solomina (Phal. schilleriana x Phal. micholitzii)</v>
      </c>
      <c r="B471" s="25" t="s">
        <v>18</v>
      </c>
      <c r="C471" s="19">
        <v>35</v>
      </c>
    </row>
    <row r="472" spans="1:23" ht="15">
      <c r="A472" s="21" t="str">
        <f>HYPERLINK("https://www.phals.net/sanderiana/2002/02ph0167.jpg","Phalaenopsis Sunday Java (Phal. sanderiana × Phal. javanica)")</f>
        <v>Phalaenopsis Sunday Java (Phal. sanderiana × Phal. javanica)</v>
      </c>
      <c r="B472" s="25" t="s">
        <v>18</v>
      </c>
      <c r="C472" s="19">
        <v>35</v>
      </c>
    </row>
    <row r="473" spans="1:23" ht="15">
      <c r="A473" s="21" t="str">
        <f>HYPERLINK("https://photos.app.goo.gl/1hxos5yyJ8qM7uC38","Phalaenopsis Taisuco Micky (Phal. Golden Peoker x Phal. pulcherrima)")</f>
        <v>Phalaenopsis Taisuco Micky (Phal. Golden Peoker x Phal. pulcherrima)</v>
      </c>
      <c r="B473" s="25" t="s">
        <v>18</v>
      </c>
      <c r="C473" s="19">
        <v>35</v>
      </c>
    </row>
    <row r="474" spans="1:23" ht="15">
      <c r="A474" s="21" t="str">
        <f>HYPERLINK("http://bluenanta.com/static/utils/images/hybrid/hyb_000018239_000151314.jpg","Phalaenopsis Valentinii (Phal. cornu-cervi var. chattaladae x Phal. violacea indigo)")</f>
        <v>Phalaenopsis Valentinii (Phal. cornu-cervi var. chattaladae x Phal. violacea indigo)</v>
      </c>
      <c r="B474" s="25" t="s">
        <v>18</v>
      </c>
      <c r="C474" s="19">
        <v>35</v>
      </c>
    </row>
    <row r="475" spans="1:23" ht="15">
      <c r="A475" s="21" t="str">
        <f>HYPERLINK("https://photos.app.goo.gl/NK7wb7ZLRE51dYDh7","Phalaenopsis Venus (Phal. lindenii x Phal. equestris)")</f>
        <v>Phalaenopsis Venus (Phal. lindenii x Phal. equestris)</v>
      </c>
      <c r="B475" s="25" t="s">
        <v>18</v>
      </c>
      <c r="C475" s="19">
        <v>35</v>
      </c>
    </row>
    <row r="476" spans="1:23" ht="15">
      <c r="A476" s="21" t="str">
        <f>HYPERLINK("https://photos.app.goo.gl/MyZPXZqSMbU8UcYU7","Phalaenopsis YangYang Gigan Cherry (Phal. Jong's Gigan Cherry 'Prince' x Phal. gigantea)")</f>
        <v>Phalaenopsis YangYang Gigan Cherry (Phal. Jong's Gigan Cherry 'Prince' x Phal. gigantea)</v>
      </c>
      <c r="B476" s="25" t="s">
        <v>20</v>
      </c>
      <c r="C476" s="19">
        <v>40</v>
      </c>
    </row>
    <row r="477" spans="1:23" ht="15">
      <c r="A477" s="21" t="str">
        <f>HYPERLINK("https://tenshinorchids.com/wp-content/uploads/2018/11/yaphon-lueddestar-x-gigantea.jpg","Phalaenopsis Yaphon Beginning of Life (Phal. Yaphon Luedde-Star × Phal. gigantea)")</f>
        <v>Phalaenopsis Yaphon Beginning of Life (Phal. Yaphon Luedde-Star × Phal. gigantea)</v>
      </c>
      <c r="B477" s="25" t="s">
        <v>18</v>
      </c>
      <c r="C477" s="19">
        <v>35</v>
      </c>
    </row>
    <row r="478" spans="1:23" ht="15">
      <c r="A478" s="21" t="str">
        <f>HYPERLINK("https://tenshinorchids.com/wp-content/uploads/2018/11/chienlung-sweetheart-x-gigantea.jpg","Phalaenopsis Yaphon Boss (Phal. Chienlung Sweetheart × Phal. gigantea)")</f>
        <v>Phalaenopsis Yaphon Boss (Phal. Chienlung Sweetheart × Phal. gigantea)</v>
      </c>
      <c r="B478" s="25" t="s">
        <v>18</v>
      </c>
      <c r="C478" s="19">
        <v>35</v>
      </c>
    </row>
    <row r="479" spans="1:23" ht="15">
      <c r="A479" s="21" t="str">
        <f>HYPERLINK("https://photos.app.goo.gl/suSpM4UzieujCCsf6","Phalaenopsis Yaphon Oh Mygod f. flava (Phal. KS Happy Eagle x Phal. speciosa)")</f>
        <v>Phalaenopsis Yaphon Oh Mygod f. flava (Phal. KS Happy Eagle x Phal. speciosa)</v>
      </c>
      <c r="B479" s="25" t="s">
        <v>18</v>
      </c>
      <c r="C479" s="19">
        <v>35</v>
      </c>
    </row>
    <row r="480" spans="1:23" ht="15">
      <c r="A480" s="21" t="str">
        <f>HYPERLINK("https://photos.app.goo.gl/7bQx1Ky6KyTPo1vY9","Phalaenopsis Yaphon Sir (Phal. Gelblieber x Phal. Macassar)")</f>
        <v>Phalaenopsis Yaphon Sir (Phal. Gelblieber x Phal. Macassar)</v>
      </c>
      <c r="B480" s="25" t="s">
        <v>18</v>
      </c>
      <c r="C480" s="19">
        <v>35</v>
      </c>
    </row>
    <row r="481" spans="1:3" ht="15">
      <c r="A481" s="21" t="str">
        <f>HYPERLINK("https://photos.app.goo.gl/24FmXAjn6rYB41mo9","Phalaenopsis Yaphon Super Jaguar (Phal. Yaphon Luedde-Star x Phal. Shingher Pure Love)")</f>
        <v>Phalaenopsis Yaphon Super Jaguar (Phal. Yaphon Luedde-Star x Phal. Shingher Pure Love)</v>
      </c>
      <c r="B481" s="25" t="s">
        <v>18</v>
      </c>
      <c r="C481" s="19">
        <v>35</v>
      </c>
    </row>
    <row r="482" spans="1:3" ht="15">
      <c r="A482" s="21" t="str">
        <f>HYPERLINK("https://photos.app.goo.gl/sXooe1yLHvmjLFSe7","Phalaenopsis Yaphon Twisted Roll (Phal. Yaphon Nicegirl x Phal. Zhengmin Tyrannosaurus)")</f>
        <v>Phalaenopsis Yaphon Twisted Roll (Phal. Yaphon Nicegirl x Phal. Zhengmin Tyrannosaurus)</v>
      </c>
      <c r="B482" s="25" t="s">
        <v>18</v>
      </c>
      <c r="C482" s="19">
        <v>35</v>
      </c>
    </row>
    <row r="483" spans="1:3" ht="15">
      <c r="A483" s="21" t="str">
        <f>HYPERLINK("https://photos.app.goo.gl/oySxyoFrz9Ev6ETAA","Phalaenopsis Zheng Min Tyrannosaurus (Phal. Zheng Min Etching x Phal. Kung's Red Cherry)")</f>
        <v>Phalaenopsis Zheng Min Tyrannosaurus (Phal. Zheng Min Etching x Phal. Kung's Red Cherry)</v>
      </c>
      <c r="B483" s="25" t="s">
        <v>18</v>
      </c>
      <c r="C483" s="19">
        <v>35</v>
      </c>
    </row>
    <row r="484" spans="1:3" ht="15">
      <c r="A484" s="21" t="str">
        <f>HYPERLINK("https://photos.app.goo.gl/kq4MAgCkP1d1MhFg9","Vandaenopsis Irene Dobkin (Phal. doris x V. miniata)")</f>
        <v>Vandaenopsis Irene Dobkin (Phal. doris x V. miniata)</v>
      </c>
      <c r="B484" s="25" t="s">
        <v>41</v>
      </c>
      <c r="C484" s="19">
        <v>25</v>
      </c>
    </row>
    <row r="485" spans="1:3" ht="15">
      <c r="A485" s="21" t="str">
        <f>HYPERLINK("https://photos.app.goo.gl/7bQx1Ky6KyTPo1vY9","Phalaenopsis Yaphon Sir (Phal. Gelblieber x Phal. Macassar)")</f>
        <v>Phalaenopsis Yaphon Sir (Phal. Gelblieber x Phal. Macassar)</v>
      </c>
      <c r="B485" s="25" t="s">
        <v>18</v>
      </c>
      <c r="C485" s="19">
        <v>35</v>
      </c>
    </row>
    <row r="486" spans="1:3" ht="15">
      <c r="A486" s="21" t="str">
        <f>HYPERLINK("https://photos.app.goo.gl/24FmXAjn6rYB41mo9","Phalaenopsis Yaphon Super Jaguar (Phal. Yaphon Luedde-Star x Phal. Shingher Pure Love)")</f>
        <v>Phalaenopsis Yaphon Super Jaguar (Phal. Yaphon Luedde-Star x Phal. Shingher Pure Love)</v>
      </c>
      <c r="B486" s="25" t="s">
        <v>18</v>
      </c>
      <c r="C486" s="19">
        <v>35</v>
      </c>
    </row>
    <row r="487" spans="1:3" ht="15">
      <c r="A487" s="21" t="str">
        <f>HYPERLINK("https://photos.app.goo.gl/sXooe1yLHvmjLFSe7","Phalaenopsis Yaphon Twisted Roll (Phal. Yaphon Nicegirl x Phal. Zhengmin Tyrannosaurus)")</f>
        <v>Phalaenopsis Yaphon Twisted Roll (Phal. Yaphon Nicegirl x Phal. Zhengmin Tyrannosaurus)</v>
      </c>
      <c r="B487" s="25" t="s">
        <v>18</v>
      </c>
      <c r="C487" s="19">
        <v>35</v>
      </c>
    </row>
    <row r="488" spans="1:3" ht="15">
      <c r="A488" s="21" t="str">
        <f>HYPERLINK("https://photos.app.goo.gl/oySxyoFrz9Ev6ETAA","Phalaenopsis Zheng Min Tyrannosaurus (Phal. Zheng Min Etching x Phal. Kung's Red Cherry)")</f>
        <v>Phalaenopsis Zheng Min Tyrannosaurus (Phal. Zheng Min Etching x Phal. Kung's Red Cherry)</v>
      </c>
      <c r="B488" s="25" t="s">
        <v>18</v>
      </c>
      <c r="C488" s="19">
        <v>35</v>
      </c>
    </row>
    <row r="489" spans="1:3" ht="15">
      <c r="A489" s="21" t="str">
        <f>HYPERLINK("https://photos.app.goo.gl/kq4MAgCkP1d1MhFg9","Vandaenopsis Irene Dobkin (Phal. doris x V. miniata)")</f>
        <v>Vandaenopsis Irene Dobkin (Phal. doris x V. miniata)</v>
      </c>
      <c r="B489" s="25" t="s">
        <v>41</v>
      </c>
      <c r="C489" s="19">
        <v>25</v>
      </c>
    </row>
    <row r="490" spans="1:3" ht="13">
      <c r="B490" s="3"/>
      <c r="C490" s="3"/>
    </row>
    <row r="491" spans="1:3" ht="15">
      <c r="A491" s="39" t="s">
        <v>42</v>
      </c>
      <c r="B491" s="40" t="s">
        <v>14</v>
      </c>
      <c r="C491" s="15" t="s">
        <v>17</v>
      </c>
    </row>
    <row r="492" spans="1:3" ht="15">
      <c r="A492" s="23" t="s">
        <v>43</v>
      </c>
      <c r="B492" s="25" t="s">
        <v>20</v>
      </c>
      <c r="C492" s="19">
        <v>30</v>
      </c>
    </row>
    <row r="493" spans="1:3" ht="15">
      <c r="A493" s="23" t="s">
        <v>44</v>
      </c>
      <c r="B493" s="25" t="s">
        <v>20</v>
      </c>
      <c r="C493" s="19">
        <v>30</v>
      </c>
    </row>
    <row r="494" spans="1:3" ht="15">
      <c r="A494" s="23" t="s">
        <v>45</v>
      </c>
      <c r="B494" s="25" t="s">
        <v>20</v>
      </c>
      <c r="C494" s="19">
        <v>30</v>
      </c>
    </row>
    <row r="495" spans="1:3" ht="15">
      <c r="A495" s="23" t="s">
        <v>46</v>
      </c>
      <c r="B495" s="25" t="s">
        <v>20</v>
      </c>
      <c r="C495" s="19">
        <v>30</v>
      </c>
    </row>
    <row r="496" spans="1:3" ht="15">
      <c r="A496" s="23" t="s">
        <v>47</v>
      </c>
      <c r="B496" s="25" t="s">
        <v>20</v>
      </c>
      <c r="C496" s="19">
        <v>30</v>
      </c>
    </row>
    <row r="497" spans="1:3" ht="15">
      <c r="A497" s="23" t="s">
        <v>48</v>
      </c>
      <c r="B497" s="25" t="s">
        <v>20</v>
      </c>
      <c r="C497" s="19">
        <v>25</v>
      </c>
    </row>
    <row r="498" spans="1:3" ht="15">
      <c r="A498" s="23" t="s">
        <v>49</v>
      </c>
      <c r="B498" s="25" t="s">
        <v>20</v>
      </c>
      <c r="C498" s="19">
        <v>30</v>
      </c>
    </row>
    <row r="499" spans="1:3" ht="15">
      <c r="A499" s="23" t="s">
        <v>50</v>
      </c>
      <c r="B499" s="25" t="s">
        <v>20</v>
      </c>
      <c r="C499" s="19">
        <v>30</v>
      </c>
    </row>
    <row r="500" spans="1:3" ht="15">
      <c r="A500" s="23" t="s">
        <v>51</v>
      </c>
      <c r="B500" s="25" t="s">
        <v>20</v>
      </c>
      <c r="C500" s="19">
        <v>25</v>
      </c>
    </row>
    <row r="501" spans="1:3" ht="15">
      <c r="A501" s="23" t="s">
        <v>52</v>
      </c>
      <c r="B501" s="25" t="s">
        <v>20</v>
      </c>
      <c r="C501" s="19">
        <v>30</v>
      </c>
    </row>
    <row r="502" spans="1:3" ht="15">
      <c r="A502" s="23" t="s">
        <v>53</v>
      </c>
      <c r="B502" s="25" t="s">
        <v>20</v>
      </c>
      <c r="C502" s="19">
        <v>25</v>
      </c>
    </row>
    <row r="503" spans="1:3" ht="15">
      <c r="A503" s="23" t="s">
        <v>54</v>
      </c>
      <c r="B503" s="25" t="s">
        <v>20</v>
      </c>
      <c r="C503" s="19">
        <v>40</v>
      </c>
    </row>
    <row r="504" spans="1:3" ht="15">
      <c r="A504" s="23" t="s">
        <v>55</v>
      </c>
      <c r="B504" s="25" t="s">
        <v>20</v>
      </c>
      <c r="C504" s="19">
        <v>35</v>
      </c>
    </row>
    <row r="505" spans="1:3" ht="15">
      <c r="A505" s="23" t="s">
        <v>56</v>
      </c>
      <c r="B505" s="25" t="s">
        <v>20</v>
      </c>
      <c r="C505" s="19">
        <v>25</v>
      </c>
    </row>
    <row r="506" spans="1:3" ht="15">
      <c r="A506" s="23" t="s">
        <v>57</v>
      </c>
      <c r="B506" s="25" t="s">
        <v>20</v>
      </c>
      <c r="C506" s="19">
        <v>30</v>
      </c>
    </row>
    <row r="507" spans="1:3" ht="15">
      <c r="A507" s="23" t="s">
        <v>58</v>
      </c>
      <c r="B507" s="25" t="s">
        <v>20</v>
      </c>
      <c r="C507" s="19">
        <v>35</v>
      </c>
    </row>
    <row r="508" spans="1:3" ht="15">
      <c r="A508" s="23" t="s">
        <v>59</v>
      </c>
      <c r="B508" s="25" t="s">
        <v>20</v>
      </c>
      <c r="C508" s="19">
        <v>25</v>
      </c>
    </row>
    <row r="509" spans="1:3" ht="15">
      <c r="A509" s="23" t="s">
        <v>60</v>
      </c>
      <c r="B509" s="25" t="s">
        <v>20</v>
      </c>
      <c r="C509" s="19">
        <v>30</v>
      </c>
    </row>
    <row r="510" spans="1:3" ht="15">
      <c r="A510" s="23" t="s">
        <v>61</v>
      </c>
      <c r="B510" s="25" t="s">
        <v>20</v>
      </c>
      <c r="C510" s="19">
        <v>30</v>
      </c>
    </row>
    <row r="511" spans="1:3" ht="15">
      <c r="A511" s="23" t="s">
        <v>62</v>
      </c>
      <c r="B511" s="25" t="s">
        <v>20</v>
      </c>
      <c r="C511" s="19">
        <v>30</v>
      </c>
    </row>
    <row r="512" spans="1:3" ht="15">
      <c r="A512" s="23" t="s">
        <v>63</v>
      </c>
      <c r="B512" s="25" t="s">
        <v>20</v>
      </c>
      <c r="C512" s="19">
        <v>30</v>
      </c>
    </row>
    <row r="513" spans="1:3" ht="15">
      <c r="A513" s="23" t="s">
        <v>64</v>
      </c>
      <c r="B513" s="25" t="s">
        <v>20</v>
      </c>
      <c r="C513" s="19">
        <v>30</v>
      </c>
    </row>
    <row r="514" spans="1:3" ht="15">
      <c r="A514" s="23" t="s">
        <v>65</v>
      </c>
      <c r="B514" s="25" t="s">
        <v>20</v>
      </c>
      <c r="C514" s="19">
        <v>30</v>
      </c>
    </row>
    <row r="515" spans="1:3" ht="15">
      <c r="A515" s="23" t="s">
        <v>66</v>
      </c>
      <c r="B515" s="25" t="s">
        <v>20</v>
      </c>
      <c r="C515" s="19">
        <v>10</v>
      </c>
    </row>
    <row r="516" spans="1:3" ht="15">
      <c r="A516" s="23" t="s">
        <v>67</v>
      </c>
      <c r="B516" s="25" t="s">
        <v>20</v>
      </c>
      <c r="C516" s="19">
        <v>30</v>
      </c>
    </row>
    <row r="517" spans="1:3" ht="15">
      <c r="A517" s="23" t="s">
        <v>68</v>
      </c>
      <c r="B517" s="25" t="s">
        <v>20</v>
      </c>
      <c r="C517" s="19">
        <v>30</v>
      </c>
    </row>
    <row r="518" spans="1:3" ht="15">
      <c r="A518" s="23" t="s">
        <v>69</v>
      </c>
      <c r="B518" s="25" t="s">
        <v>20</v>
      </c>
      <c r="C518" s="19">
        <v>30</v>
      </c>
    </row>
    <row r="519" spans="1:3" ht="15">
      <c r="A519" s="23" t="s">
        <v>70</v>
      </c>
      <c r="B519" s="25" t="s">
        <v>20</v>
      </c>
      <c r="C519" s="19">
        <v>25</v>
      </c>
    </row>
    <row r="520" spans="1:3" ht="15">
      <c r="A520" s="23" t="s">
        <v>71</v>
      </c>
      <c r="B520" s="25" t="s">
        <v>20</v>
      </c>
      <c r="C520" s="19">
        <v>25</v>
      </c>
    </row>
    <row r="521" spans="1:3" ht="15">
      <c r="A521" s="23" t="s">
        <v>72</v>
      </c>
      <c r="B521" s="25" t="s">
        <v>20</v>
      </c>
      <c r="C521" s="19">
        <v>50</v>
      </c>
    </row>
    <row r="522" spans="1:3" ht="15">
      <c r="A522" s="23" t="s">
        <v>73</v>
      </c>
      <c r="B522" s="25" t="s">
        <v>20</v>
      </c>
      <c r="C522" s="19">
        <v>25</v>
      </c>
    </row>
    <row r="523" spans="1:3" ht="15">
      <c r="A523" s="23" t="s">
        <v>74</v>
      </c>
      <c r="B523" s="25" t="s">
        <v>20</v>
      </c>
      <c r="C523" s="19">
        <v>25</v>
      </c>
    </row>
    <row r="524" spans="1:3" ht="15">
      <c r="A524" s="23" t="s">
        <v>75</v>
      </c>
      <c r="B524" s="25" t="s">
        <v>20</v>
      </c>
      <c r="C524" s="19">
        <v>25</v>
      </c>
    </row>
    <row r="525" spans="1:3" ht="15">
      <c r="A525" s="23" t="s">
        <v>76</v>
      </c>
      <c r="B525" s="25" t="s">
        <v>20</v>
      </c>
      <c r="C525" s="19">
        <v>30</v>
      </c>
    </row>
    <row r="526" spans="1:3" ht="15">
      <c r="A526" s="23" t="s">
        <v>77</v>
      </c>
      <c r="B526" s="25" t="s">
        <v>20</v>
      </c>
      <c r="C526" s="19">
        <v>25</v>
      </c>
    </row>
    <row r="527" spans="1:3" ht="15">
      <c r="A527" s="23" t="s">
        <v>78</v>
      </c>
      <c r="B527" s="25" t="s">
        <v>20</v>
      </c>
      <c r="C527" s="19">
        <v>25</v>
      </c>
    </row>
    <row r="528" spans="1:3" ht="15">
      <c r="A528" s="23" t="s">
        <v>79</v>
      </c>
      <c r="B528" s="25" t="s">
        <v>20</v>
      </c>
      <c r="C528" s="19">
        <v>25</v>
      </c>
    </row>
    <row r="529" spans="1:3" ht="15">
      <c r="A529" s="23" t="s">
        <v>80</v>
      </c>
      <c r="B529" s="25" t="s">
        <v>20</v>
      </c>
      <c r="C529" s="19">
        <v>25</v>
      </c>
    </row>
    <row r="530" spans="1:3" ht="15">
      <c r="A530" s="23" t="s">
        <v>81</v>
      </c>
      <c r="B530" s="25" t="s">
        <v>20</v>
      </c>
      <c r="C530" s="19">
        <v>30</v>
      </c>
    </row>
    <row r="531" spans="1:3" ht="15">
      <c r="A531" s="23" t="s">
        <v>82</v>
      </c>
      <c r="B531" s="25" t="s">
        <v>20</v>
      </c>
      <c r="C531" s="19">
        <v>30</v>
      </c>
    </row>
    <row r="532" spans="1:3" ht="15">
      <c r="A532" s="23" t="s">
        <v>83</v>
      </c>
      <c r="B532" s="25" t="s">
        <v>20</v>
      </c>
      <c r="C532" s="19">
        <v>30</v>
      </c>
    </row>
    <row r="533" spans="1:3" ht="15">
      <c r="A533" s="23" t="s">
        <v>84</v>
      </c>
      <c r="B533" s="25" t="s">
        <v>20</v>
      </c>
      <c r="C533" s="19">
        <v>30</v>
      </c>
    </row>
    <row r="534" spans="1:3" ht="15">
      <c r="A534" s="23" t="s">
        <v>85</v>
      </c>
      <c r="B534" s="25" t="s">
        <v>20</v>
      </c>
      <c r="C534" s="19">
        <v>30</v>
      </c>
    </row>
    <row r="535" spans="1:3" ht="15">
      <c r="A535" s="23" t="s">
        <v>86</v>
      </c>
      <c r="B535" s="25" t="s">
        <v>20</v>
      </c>
      <c r="C535" s="19">
        <v>25</v>
      </c>
    </row>
    <row r="536" spans="1:3" ht="15">
      <c r="A536" s="23" t="s">
        <v>87</v>
      </c>
      <c r="B536" s="25" t="s">
        <v>20</v>
      </c>
      <c r="C536" s="19">
        <v>25</v>
      </c>
    </row>
    <row r="537" spans="1:3" ht="15">
      <c r="A537" s="23" t="s">
        <v>88</v>
      </c>
      <c r="B537" s="25" t="s">
        <v>20</v>
      </c>
      <c r="C537" s="19">
        <v>30</v>
      </c>
    </row>
    <row r="538" spans="1:3" ht="15">
      <c r="A538" s="23" t="s">
        <v>89</v>
      </c>
      <c r="B538" s="25" t="s">
        <v>20</v>
      </c>
      <c r="C538" s="19">
        <v>30</v>
      </c>
    </row>
    <row r="539" spans="1:3" ht="15">
      <c r="A539" s="23" t="s">
        <v>90</v>
      </c>
      <c r="B539" s="25" t="s">
        <v>20</v>
      </c>
      <c r="C539" s="19">
        <v>25</v>
      </c>
    </row>
    <row r="540" spans="1:3" ht="15">
      <c r="A540" s="23" t="s">
        <v>91</v>
      </c>
      <c r="B540" s="25" t="s">
        <v>20</v>
      </c>
      <c r="C540" s="19">
        <v>30</v>
      </c>
    </row>
    <row r="541" spans="1:3" ht="15">
      <c r="A541" s="23" t="s">
        <v>92</v>
      </c>
      <c r="B541" s="25" t="s">
        <v>20</v>
      </c>
      <c r="C541" s="19">
        <v>50</v>
      </c>
    </row>
    <row r="542" spans="1:3" ht="15">
      <c r="A542" s="23" t="s">
        <v>93</v>
      </c>
      <c r="B542" s="25" t="s">
        <v>20</v>
      </c>
      <c r="C542" s="19">
        <v>35</v>
      </c>
    </row>
    <row r="543" spans="1:3" ht="15">
      <c r="A543" s="23" t="s">
        <v>94</v>
      </c>
      <c r="B543" s="25" t="s">
        <v>20</v>
      </c>
      <c r="C543" s="19">
        <v>30</v>
      </c>
    </row>
    <row r="544" spans="1:3" ht="15">
      <c r="A544" s="23" t="s">
        <v>95</v>
      </c>
      <c r="B544" s="25" t="s">
        <v>20</v>
      </c>
      <c r="C544" s="19">
        <v>30</v>
      </c>
    </row>
    <row r="545" spans="1:3" ht="15">
      <c r="A545" s="23" t="s">
        <v>96</v>
      </c>
      <c r="B545" s="25" t="s">
        <v>20</v>
      </c>
      <c r="C545" s="19">
        <v>30</v>
      </c>
    </row>
    <row r="546" spans="1:3" ht="15">
      <c r="A546" s="23" t="s">
        <v>97</v>
      </c>
      <c r="B546" s="25" t="s">
        <v>20</v>
      </c>
      <c r="C546" s="19">
        <v>30</v>
      </c>
    </row>
    <row r="547" spans="1:3" ht="15">
      <c r="A547" s="23" t="s">
        <v>98</v>
      </c>
      <c r="B547" s="25" t="s">
        <v>20</v>
      </c>
      <c r="C547" s="19">
        <v>30</v>
      </c>
    </row>
    <row r="548" spans="1:3" ht="15">
      <c r="A548" s="23" t="s">
        <v>99</v>
      </c>
      <c r="B548" s="25" t="s">
        <v>20</v>
      </c>
      <c r="C548" s="19">
        <v>30</v>
      </c>
    </row>
    <row r="549" spans="1:3" ht="15">
      <c r="A549" s="23" t="s">
        <v>100</v>
      </c>
      <c r="B549" s="25" t="s">
        <v>20</v>
      </c>
      <c r="C549" s="19">
        <v>30</v>
      </c>
    </row>
    <row r="550" spans="1:3" ht="15">
      <c r="A550" s="23" t="s">
        <v>101</v>
      </c>
      <c r="B550" s="25" t="s">
        <v>20</v>
      </c>
      <c r="C550" s="19">
        <v>30</v>
      </c>
    </row>
    <row r="551" spans="1:3" ht="15">
      <c r="A551" s="41" t="s">
        <v>102</v>
      </c>
      <c r="B551" s="42" t="s">
        <v>14</v>
      </c>
      <c r="C551" s="32" t="s">
        <v>17</v>
      </c>
    </row>
    <row r="552" spans="1:3" ht="15">
      <c r="A552" s="23" t="s">
        <v>103</v>
      </c>
      <c r="B552" s="25" t="s">
        <v>20</v>
      </c>
      <c r="C552" s="19">
        <v>30</v>
      </c>
    </row>
    <row r="553" spans="1:3" ht="15">
      <c r="A553" s="23" t="s">
        <v>104</v>
      </c>
      <c r="B553" s="25" t="s">
        <v>20</v>
      </c>
      <c r="C553" s="19">
        <v>20</v>
      </c>
    </row>
    <row r="554" spans="1:3" ht="15">
      <c r="A554" s="23" t="s">
        <v>105</v>
      </c>
      <c r="B554" s="25" t="s">
        <v>20</v>
      </c>
      <c r="C554" s="19">
        <v>20</v>
      </c>
    </row>
    <row r="555" spans="1:3" ht="15">
      <c r="A555" s="43" t="s">
        <v>106</v>
      </c>
      <c r="B555" s="25" t="s">
        <v>20</v>
      </c>
      <c r="C555" s="19">
        <v>20</v>
      </c>
    </row>
    <row r="556" spans="1:3" ht="15">
      <c r="A556" s="23" t="s">
        <v>107</v>
      </c>
      <c r="B556" s="25" t="s">
        <v>20</v>
      </c>
      <c r="C556" s="19">
        <v>20</v>
      </c>
    </row>
    <row r="557" spans="1:3" ht="15">
      <c r="A557" s="43" t="s">
        <v>108</v>
      </c>
      <c r="B557" s="25" t="s">
        <v>20</v>
      </c>
      <c r="C557" s="19">
        <v>20</v>
      </c>
    </row>
    <row r="558" spans="1:3" ht="15">
      <c r="A558" s="23" t="s">
        <v>109</v>
      </c>
      <c r="B558" s="25" t="s">
        <v>20</v>
      </c>
      <c r="C558" s="19">
        <v>20</v>
      </c>
    </row>
    <row r="559" spans="1:3" ht="15">
      <c r="A559" s="23" t="s">
        <v>110</v>
      </c>
      <c r="B559" s="25" t="s">
        <v>20</v>
      </c>
      <c r="C559" s="19">
        <v>20</v>
      </c>
    </row>
    <row r="560" spans="1:3" ht="15">
      <c r="A560" s="23" t="s">
        <v>111</v>
      </c>
      <c r="B560" s="25" t="s">
        <v>20</v>
      </c>
      <c r="C560" s="19">
        <v>20</v>
      </c>
    </row>
    <row r="561" spans="1:3" ht="15">
      <c r="A561" s="23" t="s">
        <v>112</v>
      </c>
      <c r="B561" s="25" t="s">
        <v>20</v>
      </c>
      <c r="C561" s="19">
        <v>20</v>
      </c>
    </row>
    <row r="562" spans="1:3" ht="15">
      <c r="A562" s="23" t="s">
        <v>113</v>
      </c>
      <c r="B562" s="25" t="s">
        <v>20</v>
      </c>
      <c r="C562" s="19">
        <v>20</v>
      </c>
    </row>
    <row r="563" spans="1:3" ht="15">
      <c r="A563" s="23" t="s">
        <v>114</v>
      </c>
      <c r="B563" s="25" t="s">
        <v>20</v>
      </c>
      <c r="C563" s="19">
        <v>20</v>
      </c>
    </row>
    <row r="564" spans="1:3" ht="15">
      <c r="A564" s="23" t="s">
        <v>115</v>
      </c>
      <c r="B564" s="25" t="s">
        <v>20</v>
      </c>
      <c r="C564" s="19">
        <v>20</v>
      </c>
    </row>
    <row r="565" spans="1:3" ht="15">
      <c r="A565" s="23" t="s">
        <v>116</v>
      </c>
      <c r="B565" s="25" t="s">
        <v>20</v>
      </c>
      <c r="C565" s="19">
        <v>20</v>
      </c>
    </row>
    <row r="566" spans="1:3" ht="15">
      <c r="A566" s="23" t="s">
        <v>117</v>
      </c>
      <c r="B566" s="25" t="s">
        <v>20</v>
      </c>
      <c r="C566" s="19">
        <v>20</v>
      </c>
    </row>
    <row r="567" spans="1:3" ht="15">
      <c r="A567" s="23" t="s">
        <v>118</v>
      </c>
      <c r="B567" s="25" t="s">
        <v>20</v>
      </c>
      <c r="C567" s="19">
        <v>20</v>
      </c>
    </row>
    <row r="568" spans="1:3" ht="15">
      <c r="A568" s="23" t="s">
        <v>119</v>
      </c>
      <c r="B568" s="25" t="s">
        <v>20</v>
      </c>
      <c r="C568" s="19">
        <v>20</v>
      </c>
    </row>
    <row r="569" spans="1:3" ht="15">
      <c r="A569" s="23" t="s">
        <v>120</v>
      </c>
      <c r="B569" s="25" t="s">
        <v>20</v>
      </c>
      <c r="C569" s="19">
        <v>20</v>
      </c>
    </row>
    <row r="570" spans="1:3" ht="15">
      <c r="A570" s="44" t="s">
        <v>121</v>
      </c>
      <c r="B570" s="25" t="s">
        <v>20</v>
      </c>
      <c r="C570" s="19">
        <v>20</v>
      </c>
    </row>
    <row r="571" spans="1:3" ht="15">
      <c r="A571" s="23" t="s">
        <v>122</v>
      </c>
      <c r="B571" s="25" t="s">
        <v>20</v>
      </c>
      <c r="C571" s="19">
        <v>20</v>
      </c>
    </row>
    <row r="572" spans="1:3" ht="15">
      <c r="A572" s="23" t="s">
        <v>123</v>
      </c>
      <c r="B572" s="25" t="s">
        <v>20</v>
      </c>
      <c r="C572" s="19">
        <v>20</v>
      </c>
    </row>
    <row r="573" spans="1:3" ht="15">
      <c r="A573" s="23" t="s">
        <v>124</v>
      </c>
      <c r="B573" s="25" t="s">
        <v>20</v>
      </c>
      <c r="C573" s="19">
        <v>20</v>
      </c>
    </row>
    <row r="574" spans="1:3" ht="15">
      <c r="A574" s="23" t="s">
        <v>125</v>
      </c>
      <c r="B574" s="25" t="s">
        <v>20</v>
      </c>
      <c r="C574" s="19">
        <v>20</v>
      </c>
    </row>
    <row r="575" spans="1:3" ht="15">
      <c r="A575" s="23" t="s">
        <v>126</v>
      </c>
      <c r="B575" s="25" t="s">
        <v>20</v>
      </c>
      <c r="C575" s="19">
        <v>20</v>
      </c>
    </row>
    <row r="576" spans="1:3" ht="15">
      <c r="A576" s="23" t="s">
        <v>127</v>
      </c>
      <c r="B576" s="25" t="s">
        <v>20</v>
      </c>
      <c r="C576" s="19">
        <v>20</v>
      </c>
    </row>
    <row r="577" spans="1:3" ht="15">
      <c r="A577" s="23" t="s">
        <v>128</v>
      </c>
      <c r="B577" s="25" t="s">
        <v>20</v>
      </c>
      <c r="C577" s="19">
        <v>20</v>
      </c>
    </row>
    <row r="578" spans="1:3" ht="15">
      <c r="A578" s="23" t="s">
        <v>129</v>
      </c>
      <c r="B578" s="25" t="s">
        <v>20</v>
      </c>
      <c r="C578" s="19">
        <v>30</v>
      </c>
    </row>
    <row r="579" spans="1:3" ht="13">
      <c r="B579" s="3"/>
      <c r="C579" s="3"/>
    </row>
    <row r="580" spans="1:3" ht="13">
      <c r="B580" s="3"/>
      <c r="C580" s="3"/>
    </row>
    <row r="581" spans="1:3" ht="13">
      <c r="B581" s="3"/>
      <c r="C581" s="3"/>
    </row>
    <row r="582" spans="1:3" ht="13">
      <c r="B582" s="3"/>
      <c r="C582" s="3"/>
    </row>
    <row r="583" spans="1:3" ht="13">
      <c r="B583" s="3"/>
      <c r="C583" s="3"/>
    </row>
    <row r="584" spans="1:3" ht="13">
      <c r="B584" s="3"/>
      <c r="C584" s="3"/>
    </row>
    <row r="585" spans="1:3" ht="13">
      <c r="B585" s="3"/>
      <c r="C585" s="3"/>
    </row>
    <row r="586" spans="1:3" ht="13">
      <c r="B586" s="3"/>
      <c r="C586" s="3"/>
    </row>
    <row r="587" spans="1:3" ht="13">
      <c r="B587" s="3"/>
      <c r="C587" s="3"/>
    </row>
    <row r="588" spans="1:3" ht="13">
      <c r="B588" s="3"/>
      <c r="C588" s="3"/>
    </row>
    <row r="589" spans="1:3" ht="13">
      <c r="B589" s="3"/>
      <c r="C589" s="3"/>
    </row>
    <row r="590" spans="1:3" ht="13">
      <c r="B590" s="3"/>
      <c r="C590" s="3"/>
    </row>
    <row r="591" spans="1:3" ht="13">
      <c r="B591" s="3"/>
      <c r="C591" s="3"/>
    </row>
    <row r="592" spans="1:3" ht="13">
      <c r="B592" s="3"/>
      <c r="C592" s="3"/>
    </row>
    <row r="593" spans="2:3" ht="13">
      <c r="B593" s="3"/>
      <c r="C593" s="3"/>
    </row>
    <row r="594" spans="2:3" ht="13">
      <c r="B594" s="3"/>
      <c r="C594" s="3"/>
    </row>
    <row r="595" spans="2:3" ht="13">
      <c r="B595" s="3"/>
      <c r="C595" s="3"/>
    </row>
    <row r="596" spans="2:3" ht="13">
      <c r="B596" s="3"/>
      <c r="C596" s="3"/>
    </row>
    <row r="597" spans="2:3" ht="13">
      <c r="B597" s="3"/>
      <c r="C597" s="3"/>
    </row>
    <row r="598" spans="2:3" ht="13">
      <c r="B598" s="3"/>
      <c r="C598" s="3"/>
    </row>
    <row r="599" spans="2:3" ht="13">
      <c r="B599" s="3"/>
      <c r="C599" s="3"/>
    </row>
    <row r="600" spans="2:3" ht="13">
      <c r="B600" s="3"/>
      <c r="C600" s="3"/>
    </row>
    <row r="601" spans="2:3" ht="13">
      <c r="B601" s="3"/>
      <c r="C601" s="3"/>
    </row>
    <row r="602" spans="2:3" ht="13">
      <c r="B602" s="3"/>
      <c r="C602" s="3"/>
    </row>
    <row r="603" spans="2:3" ht="13">
      <c r="B603" s="3"/>
      <c r="C603" s="3"/>
    </row>
    <row r="604" spans="2:3" ht="13">
      <c r="B604" s="3"/>
      <c r="C604" s="3"/>
    </row>
    <row r="605" spans="2:3" ht="13">
      <c r="B605" s="3"/>
      <c r="C605" s="3"/>
    </row>
    <row r="606" spans="2:3" ht="13">
      <c r="B606" s="3"/>
      <c r="C606" s="3"/>
    </row>
    <row r="607" spans="2:3" ht="13">
      <c r="B607" s="3"/>
      <c r="C607" s="3"/>
    </row>
    <row r="608" spans="2:3" ht="13">
      <c r="B608" s="3"/>
      <c r="C608" s="3"/>
    </row>
    <row r="609" spans="2:3" ht="13">
      <c r="B609" s="3"/>
      <c r="C609" s="3"/>
    </row>
    <row r="610" spans="2:3" ht="13">
      <c r="B610" s="3"/>
      <c r="C610" s="3"/>
    </row>
    <row r="611" spans="2:3" ht="13">
      <c r="B611" s="3"/>
      <c r="C611" s="3"/>
    </row>
    <row r="612" spans="2:3" ht="13">
      <c r="B612" s="3"/>
      <c r="C612" s="3"/>
    </row>
    <row r="613" spans="2:3" ht="13">
      <c r="B613" s="3"/>
      <c r="C613" s="3"/>
    </row>
    <row r="614" spans="2:3" ht="13">
      <c r="B614" s="3"/>
      <c r="C614" s="3"/>
    </row>
    <row r="615" spans="2:3" ht="13">
      <c r="B615" s="3"/>
      <c r="C615" s="3"/>
    </row>
    <row r="616" spans="2:3" ht="13">
      <c r="B616" s="3"/>
      <c r="C616" s="3"/>
    </row>
    <row r="617" spans="2:3" ht="13">
      <c r="B617" s="3"/>
      <c r="C617" s="3"/>
    </row>
    <row r="618" spans="2:3" ht="13">
      <c r="B618" s="3"/>
      <c r="C618" s="3"/>
    </row>
    <row r="619" spans="2:3" ht="13">
      <c r="B619" s="3"/>
      <c r="C619" s="3"/>
    </row>
    <row r="620" spans="2:3" ht="13">
      <c r="B620" s="3"/>
      <c r="C620" s="3"/>
    </row>
    <row r="621" spans="2:3" ht="13">
      <c r="B621" s="3"/>
      <c r="C621" s="3"/>
    </row>
    <row r="622" spans="2:3" ht="13">
      <c r="B622" s="3"/>
      <c r="C622" s="3"/>
    </row>
    <row r="623" spans="2:3" ht="13">
      <c r="B623" s="3"/>
      <c r="C623" s="3"/>
    </row>
    <row r="624" spans="2:3" ht="13">
      <c r="B624" s="3"/>
      <c r="C624" s="3"/>
    </row>
    <row r="625" spans="2:3" ht="13">
      <c r="B625" s="3"/>
      <c r="C625" s="3"/>
    </row>
    <row r="626" spans="2:3" ht="13">
      <c r="B626" s="3"/>
      <c r="C626" s="3"/>
    </row>
    <row r="627" spans="2:3" ht="13">
      <c r="B627" s="3"/>
      <c r="C627" s="3"/>
    </row>
    <row r="628" spans="2:3" ht="13">
      <c r="B628" s="3"/>
      <c r="C628" s="3"/>
    </row>
    <row r="629" spans="2:3" ht="13">
      <c r="B629" s="3"/>
      <c r="C629" s="3"/>
    </row>
    <row r="630" spans="2:3" ht="13">
      <c r="B630" s="3"/>
      <c r="C630" s="3"/>
    </row>
    <row r="631" spans="2:3" ht="13">
      <c r="B631" s="3"/>
      <c r="C631" s="3"/>
    </row>
    <row r="632" spans="2:3" ht="13">
      <c r="B632" s="3"/>
      <c r="C632" s="3"/>
    </row>
    <row r="633" spans="2:3" ht="13">
      <c r="B633" s="3"/>
      <c r="C633" s="3"/>
    </row>
    <row r="634" spans="2:3" ht="13">
      <c r="B634" s="3"/>
      <c r="C634" s="3"/>
    </row>
    <row r="635" spans="2:3" ht="13">
      <c r="B635" s="3"/>
      <c r="C635" s="3"/>
    </row>
  </sheetData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C1000"/>
  <sheetViews>
    <sheetView workbookViewId="0"/>
  </sheetViews>
  <sheetFormatPr baseColWidth="10" defaultColWidth="14.5" defaultRowHeight="15.75" customHeight="1"/>
  <cols>
    <col min="1" max="1" width="44.1640625" customWidth="1"/>
    <col min="2" max="2" width="31.83203125" customWidth="1"/>
  </cols>
  <sheetData>
    <row r="1" spans="1:3" ht="15.75" customHeight="1">
      <c r="A1" s="45" t="s">
        <v>0</v>
      </c>
      <c r="B1" s="46"/>
      <c r="C1" s="2"/>
    </row>
    <row r="2" spans="1:3" ht="15.75" customHeight="1">
      <c r="A2" s="4" t="s">
        <v>2</v>
      </c>
      <c r="B2" s="3"/>
      <c r="C2" s="2"/>
    </row>
    <row r="3" spans="1:3" ht="15.75" customHeight="1">
      <c r="A3" s="4" t="s">
        <v>3</v>
      </c>
      <c r="B3" s="3"/>
      <c r="C3" s="2"/>
    </row>
    <row r="4" spans="1:3" ht="15.75" customHeight="1">
      <c r="A4" s="4" t="s">
        <v>4</v>
      </c>
      <c r="B4" s="3"/>
      <c r="C4" s="2"/>
    </row>
    <row r="5" spans="1:3">
      <c r="A5" s="5"/>
      <c r="B5" s="3"/>
      <c r="C5" s="2"/>
    </row>
    <row r="6" spans="1:3">
      <c r="A6" s="5" t="s">
        <v>7</v>
      </c>
      <c r="B6" s="3"/>
      <c r="C6" s="2"/>
    </row>
    <row r="7" spans="1:3">
      <c r="A7" s="6" t="s">
        <v>10</v>
      </c>
      <c r="B7" s="3"/>
      <c r="C7" s="2"/>
    </row>
    <row r="8" spans="1:3">
      <c r="A8" s="9" t="s">
        <v>12</v>
      </c>
      <c r="B8" s="11" t="s">
        <v>14</v>
      </c>
      <c r="C8" s="13" t="s">
        <v>16</v>
      </c>
    </row>
    <row r="9" spans="1:3">
      <c r="A9" s="17" t="str">
        <f>HYPERLINK("https://photos.app.goo.gl/tfDrkvTBXjjpe89M7","Cymbidium ensifolium Ba Bao Qi Zhen 八寶奇珍")</f>
        <v>Cymbidium ensifolium Ba Bao Qi Zhen 八寶奇珍</v>
      </c>
      <c r="B9" s="18" t="s">
        <v>19</v>
      </c>
      <c r="C9" s="19">
        <v>38</v>
      </c>
    </row>
    <row r="10" spans="1:3">
      <c r="A10" s="21" t="str">
        <f>HYPERLINK("https://photos.app.goo.gl/ettUyygDvq3JjCct8","Cymbidium ensifolium Bao Dao Xian Nu 寶島仙女")</f>
        <v>Cymbidium ensifolium Bao Dao Xian Nu 寶島仙女</v>
      </c>
      <c r="B10" s="18" t="s">
        <v>19</v>
      </c>
      <c r="C10" s="19">
        <v>38</v>
      </c>
    </row>
    <row r="11" spans="1:3">
      <c r="A11" s="21" t="str">
        <f>HYPERLINK("https://photos.app.goo.gl/3ZkvufncJ4FPeAHK8","Cymbidium ensifolium Cai Mei 彩梅")</f>
        <v>Cymbidium ensifolium Cai Mei 彩梅</v>
      </c>
      <c r="B11" s="18" t="s">
        <v>19</v>
      </c>
      <c r="C11" s="19">
        <v>55</v>
      </c>
    </row>
    <row r="12" spans="1:3">
      <c r="A12" s="21" t="str">
        <f>HYPERLINK("https://photos.app.goo.gl/suABaT5VUnnwwzWr5","Cymbidium ensifolium Cui Yu He 翠玉荷")</f>
        <v>Cymbidium ensifolium Cui Yu He 翠玉荷</v>
      </c>
      <c r="B12" s="18" t="s">
        <v>19</v>
      </c>
      <c r="C12" s="22">
        <v>60</v>
      </c>
    </row>
    <row r="13" spans="1:3">
      <c r="A13" s="21" t="str">
        <f>HYPERLINK("https://photos.app.goo.gl/1GKwYn1W6KwgdEHi9","Cymbidium ensifolium Feng 鳳")</f>
        <v>Cymbidium ensifolium Feng 鳳</v>
      </c>
      <c r="B13" s="18" t="s">
        <v>19</v>
      </c>
      <c r="C13" s="22">
        <v>50</v>
      </c>
    </row>
    <row r="14" spans="1:3">
      <c r="A14" s="21" t="str">
        <f>HYPERLINK("https://photos.app.goo.gl/2Au2qkf17Tio2GQd8","Cymbidium ensifolium Fu Shan 富山")</f>
        <v>Cymbidium ensifolium Fu Shan 富山</v>
      </c>
      <c r="B14" s="18" t="s">
        <v>19</v>
      </c>
      <c r="C14" s="19">
        <v>38</v>
      </c>
    </row>
    <row r="15" spans="1:3">
      <c r="A15" s="21" t="str">
        <f>HYPERLINK("https://photos.app.goo.gl/Baj3JhQ3sDcBLuWVA","Cymbidium ensifolium Guan Nian 冠年")</f>
        <v>Cymbidium ensifolium Guan Nian 冠年</v>
      </c>
      <c r="B15" s="18" t="s">
        <v>19</v>
      </c>
      <c r="C15" s="22">
        <v>60</v>
      </c>
    </row>
    <row r="16" spans="1:3">
      <c r="A16" s="21" t="str">
        <f>HYPERLINK("https://photos.app.goo.gl/1vwVAZKKaZgp5kBW8","Cymbidium ensifolium Hong Niang 紅娘")</f>
        <v>Cymbidium ensifolium Hong Niang 紅娘</v>
      </c>
      <c r="B16" s="18" t="s">
        <v>19</v>
      </c>
      <c r="C16" s="19">
        <v>55</v>
      </c>
    </row>
    <row r="17" spans="1:3">
      <c r="A17" s="21" t="str">
        <f>HYPERLINK("https://photos.app.goo.gl/ag3yeJaQ4YYiYUzGA","Cymbidium ensifolium Huang Cai 黃彩")</f>
        <v>Cymbidium ensifolium Huang Cai 黃彩</v>
      </c>
      <c r="B17" s="18" t="s">
        <v>19</v>
      </c>
      <c r="C17" s="22">
        <v>30</v>
      </c>
    </row>
    <row r="18" spans="1:3">
      <c r="A18" s="21" t="str">
        <f>HYPERLINK("https://photos.app.goo.gl/tANh29XU75sR5WGP9","Cymbidium ensifolium Jin He 金荷")</f>
        <v>Cymbidium ensifolium Jin He 金荷</v>
      </c>
      <c r="B18" s="18" t="s">
        <v>19</v>
      </c>
      <c r="C18" s="19">
        <v>38</v>
      </c>
    </row>
    <row r="19" spans="1:3">
      <c r="A19" s="21" t="str">
        <f>HYPERLINK("https://photos.app.goo.gl/KhbQWqgJ4FJWB99s8","Cymbidium ensifolium Jin Qi 錦旗")</f>
        <v>Cymbidium ensifolium Jin Qi 錦旗</v>
      </c>
      <c r="B19" s="18" t="s">
        <v>19</v>
      </c>
      <c r="C19" s="19">
        <v>38</v>
      </c>
    </row>
    <row r="20" spans="1:3">
      <c r="A20" s="21" t="str">
        <f>HYPERLINK("https://photos.app.goo.gl/faZHLEMiqMx3RMeS6","Cymbidium ensifolium Jin Si Ma Wei Zhua 金絲馬尾爪")</f>
        <v>Cymbidium ensifolium Jin Si Ma Wei Zhua 金絲馬尾爪</v>
      </c>
      <c r="B20" s="18" t="s">
        <v>19</v>
      </c>
      <c r="C20" s="19">
        <v>38</v>
      </c>
    </row>
    <row r="21" spans="1:3">
      <c r="A21" s="21" t="str">
        <f>HYPERLINK("https://photos.app.goo.gl/hTypt2EhmrUjh3Df8","Cymbidium ensifolium Jun Dao 君道")</f>
        <v>Cymbidium ensifolium Jun Dao 君道</v>
      </c>
      <c r="B21" s="18" t="s">
        <v>19</v>
      </c>
      <c r="C21" s="19">
        <v>38</v>
      </c>
    </row>
    <row r="22" spans="1:3">
      <c r="A22" s="21" t="str">
        <f>HYPERLINK("https://photos.app.goo.gl/KcBVt1qk9vYEWwxs9","Cymbidium ensifolium Jun He 君荷")</f>
        <v>Cymbidium ensifolium Jun He 君荷</v>
      </c>
      <c r="B22" s="18" t="s">
        <v>19</v>
      </c>
      <c r="C22" s="19">
        <v>55</v>
      </c>
    </row>
    <row r="23" spans="1:3">
      <c r="A23" s="21" t="str">
        <f>HYPERLINK("https://photos.app.goo.gl/Svre2ciHwSshj56p6","Cymbidium ensifolium Li Shan Shi Zi 犁山獅子")</f>
        <v>Cymbidium ensifolium Li Shan Shi Zi 犁山獅子</v>
      </c>
      <c r="B23" s="18" t="s">
        <v>19</v>
      </c>
      <c r="C23" s="19">
        <v>38</v>
      </c>
    </row>
    <row r="24" spans="1:3">
      <c r="A24" s="21" t="str">
        <f>HYPERLINK("https://photos.app.goo.gl/URMvMJR2E5ohmBE56","Cymbidium ensifolium Luo Han 羅漢")</f>
        <v>Cymbidium ensifolium Luo Han 羅漢</v>
      </c>
      <c r="B24" s="18" t="s">
        <v>19</v>
      </c>
      <c r="C24" s="22">
        <v>50</v>
      </c>
    </row>
    <row r="25" spans="1:3">
      <c r="A25" s="23" t="s">
        <v>21</v>
      </c>
      <c r="B25" s="18" t="s">
        <v>19</v>
      </c>
      <c r="C25" s="19">
        <v>38</v>
      </c>
    </row>
    <row r="26" spans="1:3">
      <c r="A26" s="21" t="str">
        <f>HYPERLINK("https://photos.app.goo.gl/a3NruSqbscV34AAx5","Cymbidium ensifolium Qi Xian Nu 七仙女")</f>
        <v>Cymbidium ensifolium Qi Xian Nu 七仙女</v>
      </c>
      <c r="B26" s="18" t="s">
        <v>19</v>
      </c>
      <c r="C26" s="19">
        <v>38</v>
      </c>
    </row>
    <row r="27" spans="1:3">
      <c r="A27" s="21" t="str">
        <f>HYPERLINK("https://photos.app.goo.gl/t5oAhwdyD3SMyvCE9","Cymbidium ensifolium Qian Xia Guan 千霞冠")</f>
        <v>Cymbidium ensifolium Qian Xia Guan 千霞冠</v>
      </c>
      <c r="B27" s="18" t="s">
        <v>19</v>
      </c>
      <c r="C27" s="22">
        <v>55</v>
      </c>
    </row>
    <row r="28" spans="1:3">
      <c r="A28" s="21" t="str">
        <f>HYPERLINK("https://photos.app.goo.gl/BsRMf7DZTpnSo3oL6","Cymbidium ensifolium Qing Shan Yu Quan 青山玉泉")</f>
        <v>Cymbidium ensifolium Qing Shan Yu Quan 青山玉泉</v>
      </c>
      <c r="B28" s="18" t="s">
        <v>19</v>
      </c>
      <c r="C28" s="19">
        <v>38</v>
      </c>
    </row>
    <row r="29" spans="1:3">
      <c r="A29" s="21" t="str">
        <f>HYPERLINK("https://photos.app.goo.gl/ADvANxvVxdhQeP7A8","Cymbidium ensifolium Sa Mo Jin 蕯摩錦")</f>
        <v>Cymbidium ensifolium Sa Mo Jin 蕯摩錦</v>
      </c>
      <c r="B29" s="18" t="s">
        <v>19</v>
      </c>
      <c r="C29" s="19">
        <v>38</v>
      </c>
    </row>
    <row r="30" spans="1:3">
      <c r="A30" s="21" t="str">
        <f>HYPERLINK("https://photos.app.goo.gl/XtFmj3d62E5zGv436","Cymbidium ensifolium Shi Zhang Hong 市長紅")</f>
        <v>Cymbidium ensifolium Shi Zhang Hong 市長紅</v>
      </c>
      <c r="B30" s="18" t="s">
        <v>19</v>
      </c>
      <c r="C30" s="22">
        <v>50</v>
      </c>
    </row>
    <row r="31" spans="1:3">
      <c r="A31" s="21" t="str">
        <f>HYPERLINK("https://photos.app.goo.gl/nDMM9DFVGtf7BART7","Cymbidium ensifolium Tao Lin 桃琳")</f>
        <v>Cymbidium ensifolium Tao Lin 桃琳</v>
      </c>
      <c r="B31" s="18" t="s">
        <v>19</v>
      </c>
      <c r="C31" s="19">
        <v>55</v>
      </c>
    </row>
    <row r="32" spans="1:3">
      <c r="A32" s="21" t="str">
        <f>HYPERLINK("https://photos.app.goo.gl/FpEXzGLSc7mnGKH79","Cymbidium ensifolium Tian Di Zhi Hua 天地之華")</f>
        <v>Cymbidium ensifolium Tian Di Zhi Hua 天地之華</v>
      </c>
      <c r="B32" s="18" t="s">
        <v>19</v>
      </c>
      <c r="C32" s="19">
        <v>38</v>
      </c>
    </row>
    <row r="33" spans="1:3">
      <c r="A33" s="21" t="str">
        <f>HYPERLINK("https://photos.app.goo.gl/3yZooh1tcMQyE2xx5","Cymbidium ensifolium Tian E Su Xin 天鵝素心")</f>
        <v>Cymbidium ensifolium Tian E Su Xin 天鵝素心</v>
      </c>
      <c r="B33" s="18" t="s">
        <v>19</v>
      </c>
      <c r="C33" s="19">
        <v>38</v>
      </c>
    </row>
    <row r="34" spans="1:3">
      <c r="A34" s="21" t="str">
        <f>HYPERLINK("https://photos.app.goo.gl/gMpDLQtnMHQ5hj5i7","Cymbidium ensifolium Tian Shan Mu Dan 天山牡丹")</f>
        <v>Cymbidium ensifolium Tian Shan Mu Dan 天山牡丹</v>
      </c>
      <c r="B34" s="18" t="s">
        <v>19</v>
      </c>
      <c r="C34" s="22">
        <v>60</v>
      </c>
    </row>
    <row r="35" spans="1:3">
      <c r="A35" s="21" t="str">
        <f>HYPERLINK("https://photos.app.goo.gl/CAoPS6V7RvJmfZW67","Cymbidium ensifolium Tian Xiang 天香")</f>
        <v>Cymbidium ensifolium Tian Xiang 天香</v>
      </c>
      <c r="B35" s="18" t="s">
        <v>19</v>
      </c>
      <c r="C35" s="19">
        <v>30</v>
      </c>
    </row>
    <row r="36" spans="1:3">
      <c r="A36" s="21" t="str">
        <f>HYPERLINK("https://photos.app.goo.gl/RxaLGtqWDZDxskMP6","Cymbidium ensifolium Tie Gu Jin Qi 鐵骨錦旗")</f>
        <v>Cymbidium ensifolium Tie Gu Jin Qi 鐵骨錦旗</v>
      </c>
      <c r="B36" s="18" t="s">
        <v>19</v>
      </c>
      <c r="C36" s="19">
        <v>38</v>
      </c>
    </row>
    <row r="37" spans="1:3">
      <c r="A37" s="21" t="str">
        <f>HYPERLINK("https://photos.app.goo.gl/uhkFg2UEcGsQ7gGo7","Cymbidium ensifolium Tie Gu Shui Jing 鐵骨水晶")</f>
        <v>Cymbidium ensifolium Tie Gu Shui Jing 鐵骨水晶</v>
      </c>
      <c r="B37" s="18" t="s">
        <v>19</v>
      </c>
      <c r="C37" s="19">
        <v>30</v>
      </c>
    </row>
    <row r="38" spans="1:3">
      <c r="A38" s="21" t="str">
        <f>HYPERLINK("https://photos.app.goo.gl/dKLPNji43CYsmkTx7","Cymbidium ensifolium Tie Gu Su Xin 鐵骨素心")</f>
        <v>Cymbidium ensifolium Tie Gu Su Xin 鐵骨素心</v>
      </c>
      <c r="B38" s="18" t="s">
        <v>19</v>
      </c>
      <c r="C38" s="19">
        <v>30</v>
      </c>
    </row>
    <row r="39" spans="1:3">
      <c r="A39" s="21" t="str">
        <f>HYPERLINK("https://photos.app.goo.gl/9cx77sMXC2Cuxzsc9","Cymbidium ensifolium Yi Hong Shuang Jiao 羿虹雙嬌")</f>
        <v>Cymbidium ensifolium Yi Hong Shuang Jiao 羿虹雙嬌</v>
      </c>
      <c r="B39" s="18" t="s">
        <v>19</v>
      </c>
      <c r="C39" s="19">
        <v>55</v>
      </c>
    </row>
    <row r="40" spans="1:3">
      <c r="A40" s="21" t="str">
        <f>HYPERLINK("https://photos.app.goo.gl/uk39UVw1YgaQwAfM9","Cymbidium ensifolium Yi Pin Mei 一品梅")</f>
        <v>Cymbidium ensifolium Yi Pin Mei 一品梅</v>
      </c>
      <c r="B40" s="18" t="s">
        <v>19</v>
      </c>
      <c r="C40" s="19">
        <v>55</v>
      </c>
    </row>
    <row r="41" spans="1:3">
      <c r="A41" s="21" t="str">
        <f>HYPERLINK("https://photos.app.goo.gl/1BXPLtKgQoX3SWQUA","Cymbidium ensifolium Yu Hua 玉花")</f>
        <v>Cymbidium ensifolium Yu Hua 玉花</v>
      </c>
      <c r="B41" s="18" t="s">
        <v>19</v>
      </c>
      <c r="C41" s="19">
        <v>30</v>
      </c>
    </row>
    <row r="42" spans="1:3">
      <c r="A42" s="21" t="str">
        <f>HYPERLINK("https://photos.app.goo.gl/3YyFmAyQqNxurLro9","Cymbidium ensifolium Yu Shan Qi Die 玉山奇蝶")</f>
        <v>Cymbidium ensifolium Yu Shan Qi Die 玉山奇蝶</v>
      </c>
      <c r="B42" s="18" t="s">
        <v>19</v>
      </c>
      <c r="C42" s="19">
        <v>55</v>
      </c>
    </row>
    <row r="43" spans="1:3">
      <c r="A43" s="21" t="str">
        <f>HYPERLINK("https://photos.app.goo.gl/w5xarp9NHwPfvRGk8","Cymbidium faberi Chang Shou Mei 長壽梅")</f>
        <v>Cymbidium faberi Chang Shou Mei 長壽梅</v>
      </c>
      <c r="B43" s="18" t="s">
        <v>19</v>
      </c>
      <c r="C43" s="19">
        <v>55</v>
      </c>
    </row>
    <row r="44" spans="1:3">
      <c r="A44" s="21" t="str">
        <f>HYPERLINK("https://photos.app.goo.gl/MU1kf7J91LRNb1BGA","Cymbidium faberi Da Yi Pin 大一品")</f>
        <v>Cymbidium faberi Da Yi Pin 大一品</v>
      </c>
      <c r="B44" s="18" t="s">
        <v>19</v>
      </c>
      <c r="C44" s="22">
        <v>80</v>
      </c>
    </row>
    <row r="45" spans="1:3">
      <c r="A45" s="21" t="str">
        <f>HYPERLINK("https://photos.app.goo.gl/tQ8Ta3QqgPhznrew7","Cymbidium faberi Duan Hui Mei 端蕙梅")</f>
        <v>Cymbidium faberi Duan Hui Mei 端蕙梅</v>
      </c>
      <c r="B45" s="18" t="s">
        <v>19</v>
      </c>
      <c r="C45" s="22">
        <v>65</v>
      </c>
    </row>
    <row r="46" spans="1:3">
      <c r="A46" s="21" t="str">
        <f>HYPERLINK("https://photos.app.goo.gl/efMLhniQa8UL6z2x6","Cymbidium faberi Ji Pin 極品")</f>
        <v>Cymbidium faberi Ji Pin 極品</v>
      </c>
      <c r="B46" s="18" t="s">
        <v>19</v>
      </c>
      <c r="C46" s="22">
        <v>85</v>
      </c>
    </row>
    <row r="47" spans="1:3" ht="15">
      <c r="A47" s="21" t="str">
        <f>HYPERLINK("https://photos.app.goo.gl/4wdJo4N9amJDQMr88","Cymbidium faberi Jiang Nan Xin Ji Pin 江南新極品")</f>
        <v>Cymbidium faberi Jiang Nan Xin Ji Pin 江南新極品</v>
      </c>
      <c r="B47" s="18" t="s">
        <v>19</v>
      </c>
      <c r="C47" s="22">
        <v>80</v>
      </c>
    </row>
    <row r="48" spans="1:3" ht="15">
      <c r="A48" s="21" t="str">
        <f>HYPERLINK("https://photos.app.goo.gl/BvCsHLMZArsteMyZA","Cymbidium faberi Jue Pei Mei 解佩梅")</f>
        <v>Cymbidium faberi Jue Pei Mei 解佩梅</v>
      </c>
      <c r="B48" s="18" t="s">
        <v>19</v>
      </c>
      <c r="C48" s="22">
        <v>60</v>
      </c>
    </row>
    <row r="49" spans="1:3" ht="15">
      <c r="A49" s="21" t="str">
        <f>HYPERLINK("https://photos.app.goo.gl/Khj9QLDMSUyEh2Uj9","Cymbidium faberi Yu Shan Mei 虞山梅")</f>
        <v>Cymbidium faberi Yu Shan Mei 虞山梅</v>
      </c>
      <c r="B49" s="18" t="s">
        <v>19</v>
      </c>
      <c r="C49" s="19">
        <v>55</v>
      </c>
    </row>
    <row r="50" spans="1:3" ht="15">
      <c r="A50" s="21" t="str">
        <f>HYPERLINK("https://photos.app.goo.gl/uynvRurnadKyPzHu8","Cymbidium goeringii Bi Yu Yuan He 碧玉圓荷")</f>
        <v>Cymbidium goeringii Bi Yu Yuan He 碧玉圓荷</v>
      </c>
      <c r="B50" s="18" t="s">
        <v>19</v>
      </c>
      <c r="C50" s="19">
        <v>55</v>
      </c>
    </row>
    <row r="51" spans="1:3" ht="15">
      <c r="A51" s="21" t="str">
        <f>HYPERLINK("https://photos.app.goo.gl/x1K6Q9iqCGbwjnMRA","Cymbidium goeringii Cai Yun He 彩雲荷")</f>
        <v>Cymbidium goeringii Cai Yun He 彩雲荷</v>
      </c>
      <c r="B51" s="18" t="s">
        <v>19</v>
      </c>
      <c r="C51" s="19">
        <v>30</v>
      </c>
    </row>
    <row r="52" spans="1:3" ht="15">
      <c r="A52" s="21" t="str">
        <f>HYPERLINK("https://photos.app.goo.gl/QdLPdUiWXS4a6RWW9","Cymbidium goeringii Chun Hui 春暉")</f>
        <v>Cymbidium goeringii Chun Hui 春暉</v>
      </c>
      <c r="B52" s="18" t="s">
        <v>19</v>
      </c>
      <c r="C52" s="19">
        <v>30</v>
      </c>
    </row>
    <row r="53" spans="1:3" ht="15">
      <c r="A53" s="21" t="str">
        <f>HYPERLINK("https://photos.app.goo.gl/GrsZEtxqryLvAsbh7","Cymbidium goeringii Chun Lan Bai Hua 春蘭白花")</f>
        <v>Cymbidium goeringii Chun Lan Bai Hua 春蘭白花</v>
      </c>
      <c r="B53" s="18" t="s">
        <v>19</v>
      </c>
      <c r="C53" s="19">
        <v>38</v>
      </c>
    </row>
    <row r="54" spans="1:3" ht="15">
      <c r="A54" s="21" t="str">
        <f>HYPERLINK("https://photos.app.goo.gl/YHc66jgRje9TpzGeA","Cymbidium goeringii Chun Li 春麗")</f>
        <v>Cymbidium goeringii Chun Li 春麗</v>
      </c>
      <c r="B54" s="18" t="s">
        <v>19</v>
      </c>
      <c r="C54" s="19">
        <v>30</v>
      </c>
    </row>
    <row r="55" spans="1:3" ht="15">
      <c r="A55" s="21" t="str">
        <f>HYPERLINK("https://photos.app.goo.gl/yAjFQa97uCzDYmiAA","Cymbidium goeringii Ci En 慈恩")</f>
        <v>Cymbidium goeringii Ci En 慈恩</v>
      </c>
      <c r="B55" s="18" t="s">
        <v>19</v>
      </c>
      <c r="C55" s="19">
        <v>38</v>
      </c>
    </row>
    <row r="56" spans="1:3" ht="15">
      <c r="A56" s="21" t="str">
        <f>HYPERLINK("https://photos.app.goo.gl/tyucukgoZFSfEGFS8","Cymbidium goeringii Cui Gai He 翠蓋荷")</f>
        <v>Cymbidium goeringii Cui Gai He 翠蓋荷</v>
      </c>
      <c r="B56" s="18" t="s">
        <v>19</v>
      </c>
      <c r="C56" s="22">
        <v>150</v>
      </c>
    </row>
    <row r="57" spans="1:3" ht="15">
      <c r="A57" s="21" t="str">
        <f>HYPERLINK("https://photos.app.goo.gl/dn2CBPGe4BJ1BTjK6","Cymbidium goeringii Da Fu Gui 大富貴")</f>
        <v>Cymbidium goeringii Da Fu Gui 大富貴</v>
      </c>
      <c r="B57" s="18" t="s">
        <v>19</v>
      </c>
      <c r="C57" s="22">
        <v>70</v>
      </c>
    </row>
    <row r="58" spans="1:3" ht="15">
      <c r="A58" s="21" t="str">
        <f>HYPERLINK("https://photos.app.goo.gl/NWZQzPfexXRVheDm8","Cymbidium goeringii Da Tang Sheng Shi 大唐盛世")</f>
        <v>Cymbidium goeringii Da Tang Sheng Shi 大唐盛世</v>
      </c>
      <c r="B58" s="18" t="s">
        <v>19</v>
      </c>
      <c r="C58" s="22">
        <v>65</v>
      </c>
    </row>
    <row r="59" spans="1:3" ht="15">
      <c r="A59" s="21" t="str">
        <f>HYPERLINK("https://photos.app.goo.gl/87gZ4bPsGpNRqpzV6","Cymbidium goeringii Da Tuan Yuan 大團圓")</f>
        <v>Cymbidium goeringii Da Tuan Yuan 大團圓</v>
      </c>
      <c r="B59" s="18" t="s">
        <v>19</v>
      </c>
      <c r="C59" s="19">
        <v>38</v>
      </c>
    </row>
    <row r="60" spans="1:3" ht="15">
      <c r="A60" s="21" t="str">
        <f>HYPERLINK("https://photos.app.goo.gl/UG2Wk5rQMzG314nd9","Cymbidium goeringii Duan Xiu He 端秀荷")</f>
        <v>Cymbidium goeringii Duan Xiu He 端秀荷</v>
      </c>
      <c r="B60" s="18" t="s">
        <v>19</v>
      </c>
      <c r="C60" s="22">
        <v>130</v>
      </c>
    </row>
    <row r="61" spans="1:3" ht="15">
      <c r="A61" s="21" t="str">
        <f>HYPERLINK("https://photos.app.goo.gl/hxafw1cGM1FB5j3c9","Cymbidium goeringii Duo Duo Die 多朵蝶")</f>
        <v>Cymbidium goeringii Duo Duo Die 多朵蝶</v>
      </c>
      <c r="B61" s="18" t="s">
        <v>19</v>
      </c>
      <c r="C61" s="22">
        <v>50</v>
      </c>
    </row>
    <row r="62" spans="1:3" ht="15">
      <c r="A62" s="21" t="str">
        <f>HYPERLINK("https://photos.app.goo.gl/PjgmfW9rqWzFCLES6","Cymbidium goeringii Gui Yuan Mei 桂圓梅")</f>
        <v>Cymbidium goeringii Gui Yuan Mei 桂圓梅</v>
      </c>
      <c r="B62" s="18" t="s">
        <v>19</v>
      </c>
      <c r="C62" s="19">
        <v>55</v>
      </c>
    </row>
    <row r="63" spans="1:3" ht="15">
      <c r="A63" s="21" t="str">
        <f>HYPERLINK("https://photos.app.goo.gl/BxNg19H1P6TZwLhQA","Cymbidium goeringii He Shen Mei 賀神梅")</f>
        <v>Cymbidium goeringii He Shen Mei 賀神梅</v>
      </c>
      <c r="B63" s="18" t="s">
        <v>19</v>
      </c>
      <c r="C63" s="22">
        <v>55</v>
      </c>
    </row>
    <row r="64" spans="1:3" ht="15">
      <c r="A64" s="21" t="str">
        <f>HYPERLINK("https://photos.app.goo.gl/LXdq6vQTQ4Nv7TNo7","Cymbidium goeringii Hong Chun 紅春")</f>
        <v>Cymbidium goeringii Hong Chun 紅春</v>
      </c>
      <c r="B64" s="18" t="s">
        <v>19</v>
      </c>
      <c r="C64" s="22">
        <v>50</v>
      </c>
    </row>
    <row r="65" spans="1:3" ht="15">
      <c r="A65" s="21" t="str">
        <f>HYPERLINK("https://photos.app.goo.gl/x3Vz7ohjXntKYGRq6","Cymbidium goeringii Hong Song Mei 紅宋梅")</f>
        <v>Cymbidium goeringii Hong Song Mei 紅宋梅</v>
      </c>
      <c r="B65" s="18" t="s">
        <v>19</v>
      </c>
      <c r="C65" s="22">
        <v>70</v>
      </c>
    </row>
    <row r="66" spans="1:3" ht="15">
      <c r="A66" s="21" t="str">
        <f>HYPERLINK("https://photos.app.goo.gl/7TUPRr8v3UJBH5K2A","Cymbidium goeringii Hu Rui Die 虎蕊蝶")</f>
        <v>Cymbidium goeringii Hu Rui Die 虎蕊蝶</v>
      </c>
      <c r="B66" s="18" t="s">
        <v>19</v>
      </c>
      <c r="C66" s="22">
        <v>85</v>
      </c>
    </row>
    <row r="67" spans="1:3" ht="15">
      <c r="A67" s="21" t="str">
        <f>HYPERLINK("https://photos.app.goo.gl/JMrWPj3ixK19QtvF7","Cymbidium goeringii Huan Qiu He Ding 環球荷鼎")</f>
        <v>Cymbidium goeringii Huan Qiu He Ding 環球荷鼎</v>
      </c>
      <c r="B67" s="18" t="s">
        <v>19</v>
      </c>
      <c r="C67" s="22">
        <v>130</v>
      </c>
    </row>
    <row r="68" spans="1:3" ht="15">
      <c r="A68" s="21" t="str">
        <f>HYPERLINK("https://photos.app.goo.gl/Wa6SUEmzZTyriK2C7","Cymbidium goeringii Huang Jin Da Fu Gui 黃金大富貴")</f>
        <v>Cymbidium goeringii Huang Jin Da Fu Gui 黃金大富貴</v>
      </c>
      <c r="B68" s="18" t="s">
        <v>19</v>
      </c>
      <c r="C68" s="22">
        <v>65</v>
      </c>
    </row>
    <row r="69" spans="1:3" ht="15">
      <c r="A69" s="21" t="str">
        <f>HYPERLINK("https://photos.app.goo.gl/cpRx3X8WG4e1JDbGA","Cymbidium goeringii Jin Xiu Zhong Hua 錦繡中華")</f>
        <v>Cymbidium goeringii Jin Xiu Zhong Hua 錦繡中華</v>
      </c>
      <c r="B69" s="18" t="s">
        <v>19</v>
      </c>
      <c r="C69" s="22">
        <v>50</v>
      </c>
    </row>
    <row r="70" spans="1:3" ht="15">
      <c r="A70" s="21" t="str">
        <f>HYPERLINK("https://photos.app.goo.gl/MzbBp6NPJNH4Fnwg8","Cymbidium goeringii Jiu Xian Mu Dan 九仙牡丹")</f>
        <v>Cymbidium goeringii Jiu Xian Mu Dan 九仙牡丹</v>
      </c>
      <c r="B70" s="18" t="s">
        <v>19</v>
      </c>
      <c r="C70" s="22">
        <v>130</v>
      </c>
    </row>
    <row r="71" spans="1:3" ht="15">
      <c r="A71" s="21" t="str">
        <f>HYPERLINK("https://photos.app.goo.gl/vYDUqyZu4REartYk6","Cymbidium goeringii Lao Shi Yuan Zhua 老拾圓(爪)")</f>
        <v>Cymbidium goeringii Lao Shi Yuan Zhua 老拾圓(爪)</v>
      </c>
      <c r="B71" s="18" t="s">
        <v>19</v>
      </c>
      <c r="C71" s="19">
        <v>38</v>
      </c>
    </row>
    <row r="72" spans="1:3" ht="15">
      <c r="A72" s="21" t="str">
        <f>HYPERLINK("https://photos.app.goo.gl/SwNgiVQfigAzkjyi9","Cymbidium goeringii Lian Ban 蓮瓣")</f>
        <v>Cymbidium goeringii Lian Ban 蓮瓣</v>
      </c>
      <c r="B72" s="18" t="s">
        <v>19</v>
      </c>
      <c r="C72" s="19">
        <v>30</v>
      </c>
    </row>
    <row r="73" spans="1:3" ht="15">
      <c r="A73" s="21" t="str">
        <f>HYPERLINK("https://photos.app.goo.gl/Cb7z3xseAmpkdHfY8","Cymbidium goeringii Long Zi 龍字")</f>
        <v>Cymbidium goeringii Long Zi 龍字</v>
      </c>
      <c r="B73" s="18" t="s">
        <v>19</v>
      </c>
      <c r="C73" s="22">
        <v>70</v>
      </c>
    </row>
    <row r="74" spans="1:3" ht="15">
      <c r="A74" s="21" t="str">
        <f>HYPERLINK("https://photos.app.goo.gl/jp6m4waGXaHqAwgc9","Cymbidium goeringii Lu Ying 綠英")</f>
        <v>Cymbidium goeringii Lu Ying 綠英</v>
      </c>
      <c r="B74" s="18" t="s">
        <v>19</v>
      </c>
      <c r="C74" s="19">
        <v>55</v>
      </c>
    </row>
    <row r="75" spans="1:3" ht="15">
      <c r="A75" s="21" t="str">
        <f>HYPERLINK("https://photos.app.goo.gl/JQo3iY1aT27CaZLA8","Cymbidium goeringii Rui Mei 瑞梅")</f>
        <v>Cymbidium goeringii Rui Mei 瑞梅</v>
      </c>
      <c r="B75" s="18" t="s">
        <v>19</v>
      </c>
      <c r="C75" s="19">
        <v>38</v>
      </c>
    </row>
    <row r="76" spans="1:3" ht="15">
      <c r="A76" s="21" t="str">
        <f>HYPERLINK("https://photos.app.goo.gl/Dx4g8udZP88YMHRu7","Cymbidium goeringii Si Xi Die 四喜蝶")</f>
        <v>Cymbidium goeringii Si Xi Die 四喜蝶</v>
      </c>
      <c r="B76" s="18" t="s">
        <v>19</v>
      </c>
      <c r="C76" s="22">
        <v>55</v>
      </c>
    </row>
    <row r="77" spans="1:3" ht="15">
      <c r="A77" s="21" t="str">
        <f>HYPERLINK("https://photos.app.goo.gl/R6ho8ENLzuytVQcC6","Cymbidium goeringii Song Mei 宋梅")</f>
        <v>Cymbidium goeringii Song Mei 宋梅</v>
      </c>
      <c r="B77" s="18" t="s">
        <v>19</v>
      </c>
      <c r="C77" s="19">
        <v>55</v>
      </c>
    </row>
    <row r="78" spans="1:3" ht="15">
      <c r="A78" s="21" t="str">
        <f>HYPERLINK("https://photos.app.goo.gl/Un9SNK1Zjjs4pY9X7","Cymbidium goeringii Tang Mei 湯梅")</f>
        <v>Cymbidium goeringii Tang Mei 湯梅</v>
      </c>
      <c r="B78" s="18" t="s">
        <v>19</v>
      </c>
      <c r="C78" s="22">
        <v>55</v>
      </c>
    </row>
    <row r="79" spans="1:3" ht="15">
      <c r="A79" s="21" t="str">
        <f>HYPERLINK("https://photos.app.goo.gl/iU9itkpRmjSWD1Rv8","Cymbidium goeringii Tian Cao 天草")</f>
        <v>Cymbidium goeringii Tian Cao 天草</v>
      </c>
      <c r="B79" s="18" t="s">
        <v>19</v>
      </c>
      <c r="C79" s="19">
        <v>30</v>
      </c>
    </row>
    <row r="80" spans="1:3" ht="15">
      <c r="A80" s="23" t="s">
        <v>22</v>
      </c>
      <c r="B80" s="18" t="s">
        <v>19</v>
      </c>
      <c r="C80" s="22">
        <v>65</v>
      </c>
    </row>
    <row r="81" spans="1:3" ht="15">
      <c r="A81" s="21" t="str">
        <f>HYPERLINK("https://photos.app.goo.gl/bax3rDLnjiwjSkbJ8","Cymbidium goeringii Tian Peng 天彭")</f>
        <v>Cymbidium goeringii Tian Peng 天彭</v>
      </c>
      <c r="B81" s="18" t="s">
        <v>19</v>
      </c>
      <c r="C81" s="22">
        <v>55</v>
      </c>
    </row>
    <row r="82" spans="1:3" ht="15">
      <c r="A82" s="21" t="str">
        <f>HYPERLINK("https://photos.app.goo.gl/T5EQHSKELaFwTJZw6","Cymbidium goeringii Tong Le Mei 同樂梅")</f>
        <v>Cymbidium goeringii Tong Le Mei 同樂梅</v>
      </c>
      <c r="B82" s="18" t="s">
        <v>19</v>
      </c>
      <c r="C82" s="19">
        <v>55</v>
      </c>
    </row>
    <row r="83" spans="1:3" ht="15">
      <c r="A83" s="21" t="str">
        <f>HYPERLINK("https://photos.app.goo.gl/WpB27m3fwWtVhc9U7","Cymbidium goeringii var. longibracteatum Bai Fu Rong 白芙蓉")</f>
        <v>Cymbidium goeringii var. longibracteatum Bai Fu Rong 白芙蓉</v>
      </c>
      <c r="B83" s="18" t="s">
        <v>19</v>
      </c>
      <c r="C83" s="22">
        <v>120</v>
      </c>
    </row>
    <row r="84" spans="1:3" ht="15">
      <c r="A84" s="23" t="s">
        <v>23</v>
      </c>
      <c r="B84" s="18" t="s">
        <v>19</v>
      </c>
      <c r="C84" s="22">
        <v>120</v>
      </c>
    </row>
    <row r="85" spans="1:3" ht="15">
      <c r="A85" s="21" t="str">
        <f>HYPERLINK("https://photos.app.goo.gl/LZ5vFNpPZmiAkD5g9","Cymbidium goeringii var. longibracteatum Chun Jian Da Fu Gui 春劍大富貴")</f>
        <v>Cymbidium goeringii var. longibracteatum Chun Jian Da Fu Gui 春劍大富貴</v>
      </c>
      <c r="B85" s="18" t="s">
        <v>19</v>
      </c>
      <c r="C85" s="22">
        <v>60</v>
      </c>
    </row>
    <row r="86" spans="1:3" ht="15">
      <c r="A86" s="21" t="str">
        <f>HYPERLINK("https://photos.app.goo.gl/SQx1ir9zPQiFmWMUA","Cymbidium goeringii var. longibracteatum Gai Shi Mu Dan 蓋世牡丹")</f>
        <v>Cymbidium goeringii var. longibracteatum Gai Shi Mu Dan 蓋世牡丹</v>
      </c>
      <c r="B86" s="18" t="s">
        <v>19</v>
      </c>
      <c r="C86" s="22">
        <v>120</v>
      </c>
    </row>
    <row r="87" spans="1:3" ht="15">
      <c r="A87" s="21" t="str">
        <f>HYPERLINK("https://photos.app.goo.gl/tqtEaa5ePaR1JFFC8","Cymbidium goeringii var. longibracteatum Huang Mei 黃梅")</f>
        <v>Cymbidium goeringii var. longibracteatum Huang Mei 黃梅</v>
      </c>
      <c r="B87" s="18" t="s">
        <v>19</v>
      </c>
      <c r="C87" s="22">
        <v>120</v>
      </c>
    </row>
    <row r="88" spans="1:3" ht="15">
      <c r="A88" s="21" t="str">
        <f>HYPERLINK("https://photos.app.goo.gl/6wfNx4WUFviRDDHR8","Cymbidium goeringii var. longibracteatum Liang Xi Mei 梁溪梅")</f>
        <v>Cymbidium goeringii var. longibracteatum Liang Xi Mei 梁溪梅</v>
      </c>
      <c r="B88" s="18" t="s">
        <v>19</v>
      </c>
      <c r="C88" s="22">
        <v>70</v>
      </c>
    </row>
    <row r="89" spans="1:3" ht="15">
      <c r="A89" s="21" t="str">
        <f>HYPERLINK("https://photos.app.goo.gl/QuSXzAAUQPfjAuoC8","Cymbidium goeringii var. longibracteatum Shuang Xi Mei 雙喜梅")</f>
        <v>Cymbidium goeringii var. longibracteatum Shuang Xi Mei 雙喜梅</v>
      </c>
      <c r="B89" s="18" t="s">
        <v>19</v>
      </c>
      <c r="C89" s="22">
        <v>60</v>
      </c>
    </row>
    <row r="90" spans="1:3" ht="15">
      <c r="A90" s="21" t="str">
        <f>HYPERLINK("https://photos.app.goo.gl/v5xwJCbfTGBn3hGy7","Cymbidium goeringii var. longibracteatum Xi Shu Dao Guang 西蜀道光")</f>
        <v>Cymbidium goeringii var. longibracteatum Xi Shu Dao Guang 西蜀道光</v>
      </c>
      <c r="B90" s="18" t="s">
        <v>19</v>
      </c>
      <c r="C90" s="22">
        <v>70</v>
      </c>
    </row>
    <row r="91" spans="1:3" ht="15">
      <c r="A91" s="21" t="str">
        <f>HYPERLINK("https://photos.app.goo.gl/R7KdyZ4qUwRyJh866","Cymbidium goeringii var. longibracteatum Zhong Hua Long Mei 中華龍梅")</f>
        <v>Cymbidium goeringii var. longibracteatum Zhong Hua Long Mei 中華龍梅</v>
      </c>
      <c r="B91" s="18" t="s">
        <v>19</v>
      </c>
      <c r="C91" s="22">
        <v>65</v>
      </c>
    </row>
    <row r="92" spans="1:3" ht="15">
      <c r="A92" s="21" t="str">
        <f>HYPERLINK("https://photos.app.goo.gl/kuqvYywPpT3N7HD97","Cymbidium goeringii Wan Zi 萬字")</f>
        <v>Cymbidium goeringii Wan Zi 萬字</v>
      </c>
      <c r="B92" s="18" t="s">
        <v>19</v>
      </c>
      <c r="C92" s="19">
        <v>38</v>
      </c>
    </row>
    <row r="93" spans="1:3" ht="15">
      <c r="A93" s="21" t="str">
        <f>HYPERLINK("https://photos.app.goo.gl/CdATwgEk2yW2ErUH9","Cymbidium goeringii Wang Xiao Chun 汪笑春")</f>
        <v>Cymbidium goeringii Wang Xiao Chun 汪笑春</v>
      </c>
      <c r="B93" s="18" t="s">
        <v>19</v>
      </c>
      <c r="C93" s="22">
        <v>55</v>
      </c>
    </row>
    <row r="94" spans="1:3" ht="15">
      <c r="A94" s="21" t="str">
        <f>HYPERLINK("https://photos.app.goo.gl/VcqLaUeaY8beB9PM6","Cymbidium goeringii Wang Zi 汪字")</f>
        <v>Cymbidium goeringii Wang Zi 汪字</v>
      </c>
      <c r="B94" s="18" t="s">
        <v>19</v>
      </c>
      <c r="C94" s="19">
        <v>55</v>
      </c>
    </row>
    <row r="95" spans="1:3" ht="15">
      <c r="A95" s="21" t="str">
        <f>HYPERLINK("https://photos.app.goo.gl/rdbZmAX6jVhEBva27","Cymbidium goeringii Wu Feng 吳鳳")</f>
        <v>Cymbidium goeringii Wu Feng 吳鳳</v>
      </c>
      <c r="B95" s="25" t="s">
        <v>19</v>
      </c>
      <c r="C95" s="19">
        <v>55</v>
      </c>
    </row>
    <row r="96" spans="1:3" ht="15">
      <c r="A96" s="23" t="s">
        <v>24</v>
      </c>
      <c r="B96" s="25" t="s">
        <v>19</v>
      </c>
      <c r="C96" s="19">
        <v>55</v>
      </c>
    </row>
    <row r="97" spans="1:3" ht="15">
      <c r="A97" s="21" t="str">
        <f>HYPERLINK("https://photos.app.goo.gl/m7XVSCg4aqdCoKmQ7","Cymbidium goeringii Xi Shen Mei 西神梅")</f>
        <v>Cymbidium goeringii Xi Shen Mei 西神梅</v>
      </c>
      <c r="B97" s="25" t="s">
        <v>19</v>
      </c>
      <c r="C97" s="22">
        <v>100</v>
      </c>
    </row>
    <row r="98" spans="1:3" ht="15">
      <c r="A98" s="21" t="str">
        <f>HYPERLINK("https://photos.app.goo.gl/wnymSY6BbeHRaQuX8","Cymbidium goeringii Xiao Xue Su 小雪素")</f>
        <v>Cymbidium goeringii Xiao Xue Su 小雪素</v>
      </c>
      <c r="B98" s="25" t="s">
        <v>19</v>
      </c>
      <c r="C98" s="22">
        <v>60</v>
      </c>
    </row>
    <row r="99" spans="1:3" ht="15">
      <c r="A99" s="21" t="str">
        <f>HYPERLINK("https://photos.app.goo.gl/GvgRvow5yXCFV9g67","Cymbidium goeringii Xin Chun Mei 新春梅")</f>
        <v>Cymbidium goeringii Xin Chun Mei 新春梅</v>
      </c>
      <c r="B99" s="25" t="s">
        <v>19</v>
      </c>
      <c r="C99" s="19">
        <v>55</v>
      </c>
    </row>
    <row r="100" spans="1:3" ht="15">
      <c r="A100" s="21" t="str">
        <f>HYPERLINK("https://photos.app.goo.gl/ViM4x2ZbBoDWeP2J7","Cymbidium goeringii Yi Chun Xian 宜春仙")</f>
        <v>Cymbidium goeringii Yi Chun Xian 宜春仙</v>
      </c>
      <c r="B100" s="25" t="s">
        <v>19</v>
      </c>
      <c r="C100" s="19">
        <v>38</v>
      </c>
    </row>
    <row r="101" spans="1:3" ht="15">
      <c r="A101" s="21" t="str">
        <f>HYPERLINK("https://photos.app.goo.gl/QeiNBLr7auwXNAot5","Cymbidium goeringii Yu Hu Die 余蝴蝶")</f>
        <v>Cymbidium goeringii Yu Hu Die 余蝴蝶</v>
      </c>
      <c r="B101" s="25" t="s">
        <v>19</v>
      </c>
      <c r="C101" s="19">
        <v>55</v>
      </c>
    </row>
    <row r="102" spans="1:3" ht="15">
      <c r="A102" s="21" t="str">
        <f>HYPERLINK("https://photos.app.goo.gl/KWudcZFvrmxHJZH2A","Cymbidium goeringii Yu Mei Su 玉梅素")</f>
        <v>Cymbidium goeringii Yu Mei Su 玉梅素</v>
      </c>
      <c r="B102" s="25" t="s">
        <v>19</v>
      </c>
      <c r="C102" s="22">
        <v>60</v>
      </c>
    </row>
    <row r="103" spans="1:3" ht="15">
      <c r="A103" s="21" t="str">
        <f>HYPERLINK("https://photos.app.goo.gl/XodQ9fjjLFf5zpjV8","Cymbidium goeringii Yue Hou Shi Zi 越後獅子")</f>
        <v>Cymbidium goeringii Yue Hou Shi Zi 越後獅子</v>
      </c>
      <c r="B103" s="25" t="s">
        <v>19</v>
      </c>
      <c r="C103" s="22">
        <v>60</v>
      </c>
    </row>
    <row r="104" spans="1:3" ht="15">
      <c r="A104" s="23" t="s">
        <v>25</v>
      </c>
      <c r="B104" s="25" t="s">
        <v>19</v>
      </c>
      <c r="C104" s="22">
        <v>55</v>
      </c>
    </row>
    <row r="105" spans="1:3" ht="15">
      <c r="A105" s="21" t="str">
        <f>HYPERLINK("https://photos.app.goo.gl/9ZtEGLzaKzEBqtyz9","Cymbidium kanran Da Xiong Mao 大熊貓")</f>
        <v>Cymbidium kanran Da Xiong Mao 大熊貓</v>
      </c>
      <c r="B105" s="25" t="s">
        <v>19</v>
      </c>
      <c r="C105" s="19">
        <v>55</v>
      </c>
    </row>
    <row r="106" spans="1:3" ht="15">
      <c r="A106" s="21" t="str">
        <f>HYPERLINK("https://photos.app.goo.gl/ETavj4RXKJBKMvkL8","Cymbidium kanran Han Xiang Mei 寒香梅")</f>
        <v>Cymbidium kanran Han Xiang Mei 寒香梅</v>
      </c>
      <c r="B106" s="25" t="s">
        <v>19</v>
      </c>
      <c r="C106" s="19">
        <v>38</v>
      </c>
    </row>
    <row r="107" spans="1:3" ht="15">
      <c r="A107" s="23" t="s">
        <v>26</v>
      </c>
      <c r="B107" s="25" t="s">
        <v>19</v>
      </c>
      <c r="C107" s="22">
        <v>60</v>
      </c>
    </row>
    <row r="108" spans="1:3" ht="15">
      <c r="A108" s="21" t="str">
        <f>HYPERLINK("https://photos.app.goo.gl/E6T252zw8R9ipiJL7","Cymbidium kanran Hong Tai Yang 紅太陽")</f>
        <v>Cymbidium kanran Hong Tai Yang 紅太陽</v>
      </c>
      <c r="B108" s="25" t="s">
        <v>19</v>
      </c>
      <c r="C108" s="22">
        <v>60</v>
      </c>
    </row>
    <row r="109" spans="1:3" ht="15">
      <c r="A109" s="21" t="str">
        <f>HYPERLINK("https://photos.app.goo.gl/R288Fba54ryBKxT38","Cymbidium kanran Hu Shan Su 虎山素")</f>
        <v>Cymbidium kanran Hu Shan Su 虎山素</v>
      </c>
      <c r="B109" s="25" t="s">
        <v>19</v>
      </c>
      <c r="C109" s="19">
        <v>55</v>
      </c>
    </row>
    <row r="110" spans="1:3" ht="15">
      <c r="A110" s="21" t="str">
        <f>HYPERLINK("https://photos.app.goo.gl/tZr1yWQmvhj8NPHy8","Cymbidium kanran Piao Men Shui Xian 飘門水仙")</f>
        <v>Cymbidium kanran Piao Men Shui Xian 飘門水仙</v>
      </c>
      <c r="B110" s="25" t="s">
        <v>19</v>
      </c>
      <c r="C110" s="22">
        <v>130</v>
      </c>
    </row>
    <row r="111" spans="1:3" ht="15">
      <c r="A111" s="21" t="str">
        <f>HYPERLINK("https://photos.app.goo.gl/9tFVUJvWiRUDZTUi7","Cymbidium kanran San Xing Die 三星蝶")</f>
        <v>Cymbidium kanran San Xing Die 三星蝶</v>
      </c>
      <c r="B111" s="25" t="s">
        <v>19</v>
      </c>
      <c r="C111" s="22">
        <v>60</v>
      </c>
    </row>
    <row r="112" spans="1:3" ht="15">
      <c r="A112" s="23" t="s">
        <v>27</v>
      </c>
      <c r="B112" s="25" t="s">
        <v>19</v>
      </c>
      <c r="C112" s="22">
        <v>130</v>
      </c>
    </row>
    <row r="113" spans="1:3" ht="15">
      <c r="A113" s="23" t="s">
        <v>28</v>
      </c>
      <c r="B113" s="25" t="s">
        <v>19</v>
      </c>
      <c r="C113" s="22">
        <v>90</v>
      </c>
    </row>
    <row r="114" spans="1:3" ht="15">
      <c r="A114" s="23" t="s">
        <v>29</v>
      </c>
      <c r="B114" s="25" t="s">
        <v>19</v>
      </c>
      <c r="C114" s="22">
        <v>130</v>
      </c>
    </row>
    <row r="115" spans="1:3" ht="15">
      <c r="A115" s="21" t="str">
        <f>HYPERLINK("https://photos.app.goo.gl/zgQ7kp38gSQf1uLT7","Cymbidium sinense Bai Hua Bao Sui 白花報歲")</f>
        <v>Cymbidium sinense Bai Hua Bao Sui 白花報歲</v>
      </c>
      <c r="B115" s="25" t="s">
        <v>19</v>
      </c>
      <c r="C115" s="19">
        <v>30</v>
      </c>
    </row>
    <row r="116" spans="1:3" ht="15">
      <c r="A116" s="21" t="str">
        <f>HYPERLINK("https://photos.app.goo.gl/ASa8P33CBfTMduAn9","Cymbidium sinense Bai Mo Bai Zhua 白墨白爪")</f>
        <v>Cymbidium sinense Bai Mo Bai Zhua 白墨白爪</v>
      </c>
      <c r="B116" s="25" t="s">
        <v>19</v>
      </c>
      <c r="C116" s="22">
        <v>60</v>
      </c>
    </row>
    <row r="117" spans="1:3" ht="15">
      <c r="A117" s="21" t="str">
        <f>HYPERLINK("https://photos.app.goo.gl/iR8Lf7SMXwsMmmQq6","Cymbidium sinense Bao Shan Zhua 寶山爪")</f>
        <v>Cymbidium sinense Bao Shan Zhua 寶山爪</v>
      </c>
      <c r="B117" s="25" t="s">
        <v>19</v>
      </c>
      <c r="C117" s="19">
        <v>30</v>
      </c>
    </row>
    <row r="118" spans="1:3" ht="15">
      <c r="A118" s="21" t="str">
        <f>HYPERLINK("https://photos.app.goo.gl/bm8NUn9wmD4PhDdw5","Cymbidium sinense Chang Cheng Mu Dan 長城牡丹")</f>
        <v>Cymbidium sinense Chang Cheng Mu Dan 長城牡丹</v>
      </c>
      <c r="B118" s="25" t="s">
        <v>19</v>
      </c>
      <c r="C118" s="22">
        <v>60</v>
      </c>
    </row>
    <row r="119" spans="1:3" ht="15">
      <c r="A119" s="23" t="s">
        <v>31</v>
      </c>
      <c r="B119" s="25" t="s">
        <v>19</v>
      </c>
      <c r="C119" s="19">
        <v>38</v>
      </c>
    </row>
    <row r="120" spans="1:3" ht="15">
      <c r="A120" s="21" t="str">
        <f>HYPERLINK("https://photos.app.goo.gl/tZ3qTWqocg5VwxxU8","Cymbidium sinense Da Mo (Shi Gong) 達摩(十公)")</f>
        <v>Cymbidium sinense Da Mo (Shi Gong) 達摩(十公)</v>
      </c>
      <c r="B120" s="25" t="s">
        <v>19</v>
      </c>
      <c r="C120" s="19">
        <v>38</v>
      </c>
    </row>
    <row r="121" spans="1:3" ht="15">
      <c r="A121" s="21" t="str">
        <f>HYPERLINK("https://photos.app.goo.gl/3iNMewZrkDFTpLzt7","Cymbidium sinense Da Mo (Zhong Tou) 達摩(中透)")</f>
        <v>Cymbidium sinense Da Mo (Zhong Tou) 達摩(中透)</v>
      </c>
      <c r="B121" s="25" t="s">
        <v>19</v>
      </c>
      <c r="C121" s="22">
        <v>120</v>
      </c>
    </row>
    <row r="122" spans="1:3" ht="15">
      <c r="A122" s="21" t="str">
        <f>HYPERLINK("https://photos.app.goo.gl/7WrbRQfWoMuaGuFE9","Cymbidium sinense Da Mo Guan 達摩冠")</f>
        <v>Cymbidium sinense Da Mo Guan 達摩冠</v>
      </c>
      <c r="B122" s="25" t="s">
        <v>19</v>
      </c>
      <c r="C122" s="19">
        <v>55</v>
      </c>
    </row>
    <row r="123" spans="1:3" ht="15">
      <c r="A123" s="21" t="str">
        <f>HYPERLINK("https://photos.app.goo.gl/NtsHSrFKAzX5ecRm7","Cymbidium sinense Da Tun Qi Lin 大屯麒麟")</f>
        <v>Cymbidium sinense Da Tun Qi Lin 大屯麒麟</v>
      </c>
      <c r="B123" s="25" t="s">
        <v>19</v>
      </c>
      <c r="C123" s="22">
        <v>55</v>
      </c>
    </row>
    <row r="124" spans="1:3" ht="15">
      <c r="A124" s="21" t="str">
        <f>HYPERLINK("https://photos.app.goo.gl/mPxcREPGgRK7EGvk9","Cymbidium sinense Da Xun 大勳")</f>
        <v>Cymbidium sinense Da Xun 大勳</v>
      </c>
      <c r="B124" s="25" t="s">
        <v>19</v>
      </c>
      <c r="C124" s="19">
        <v>30</v>
      </c>
    </row>
    <row r="125" spans="1:3" ht="15">
      <c r="A125" s="21" t="str">
        <f>HYPERLINK("https://photos.app.goo.gl/FdCfmMSHDsujb7WV7","Cymbidium sinense Dai Long 歹龍")</f>
        <v>Cymbidium sinense Dai Long 歹龍</v>
      </c>
      <c r="B125" s="25" t="s">
        <v>19</v>
      </c>
      <c r="C125" s="19">
        <v>38</v>
      </c>
    </row>
    <row r="126" spans="1:3" ht="15">
      <c r="A126" s="21" t="str">
        <f>HYPERLINK("https://photos.app.goo.gl/EUo2dboLPZaC1wve7","Cymbidium sinense Fu Cui 馥翠")</f>
        <v>Cymbidium sinense Fu Cui 馥翠</v>
      </c>
      <c r="B126" s="25" t="s">
        <v>19</v>
      </c>
      <c r="C126" s="19">
        <v>55</v>
      </c>
    </row>
    <row r="127" spans="1:3" ht="15">
      <c r="A127" s="21" t="str">
        <f>HYPERLINK("https://photos.app.goo.gl/yASF9z2LUNU97qCX8","Cymbidium sinense Fu Gui Jin Long Guan 富貴金龍冠")</f>
        <v>Cymbidium sinense Fu Gui Jin Long Guan 富貴金龍冠</v>
      </c>
      <c r="B127" s="25" t="s">
        <v>19</v>
      </c>
      <c r="C127" s="19">
        <v>55</v>
      </c>
    </row>
    <row r="128" spans="1:3" ht="15">
      <c r="A128" s="21" t="str">
        <f>HYPERLINK("https://photos.app.goo.gl/43WvPMn8r3SrJMdJ7","Cymbidium sinense Guo Xiang Mu Dan 國香牡丹")</f>
        <v>Cymbidium sinense Guo Xiang Mu Dan 國香牡丹</v>
      </c>
      <c r="B128" s="25" t="s">
        <v>19</v>
      </c>
      <c r="C128" s="19">
        <v>55</v>
      </c>
    </row>
    <row r="129" spans="1:3" ht="15">
      <c r="A129" s="21" t="str">
        <f>HYPERLINK("https://photos.app.goo.gl/RuVxymU2mjLthw126","Cymbidium sinense He Zhi Hua 鶴之華")</f>
        <v>Cymbidium sinense He Zhi Hua 鶴之華</v>
      </c>
      <c r="B129" s="25" t="s">
        <v>19</v>
      </c>
      <c r="C129" s="22">
        <v>60</v>
      </c>
    </row>
    <row r="130" spans="1:3" ht="15">
      <c r="A130" s="21" t="str">
        <f>HYPERLINK("https://photos.app.goo.gl/462AxHv974dhwJS88","Cymbidium sinense Hei Bao 黑豹")</f>
        <v>Cymbidium sinense Hei Bao 黑豹</v>
      </c>
      <c r="B130" s="25" t="s">
        <v>19</v>
      </c>
      <c r="C130" s="22">
        <v>70</v>
      </c>
    </row>
    <row r="131" spans="1:3" ht="15">
      <c r="A131" s="21" t="str">
        <f>HYPERLINK("https://photos.app.goo.gl/pDgLwQbCRycBc6yZA","Cymbidium sinense Hong Yu 紅玉")</f>
        <v>Cymbidium sinense Hong Yu 紅玉</v>
      </c>
      <c r="B131" s="25" t="s">
        <v>19</v>
      </c>
      <c r="C131" s="22">
        <v>60</v>
      </c>
    </row>
    <row r="132" spans="1:3" ht="15">
      <c r="A132" s="21" t="str">
        <f>HYPERLINK("https://photos.app.goo.gl/rYMbfMHZnnNErLkG9","Cymbidium sinense Huang Jin Yang Lao 黃金養老")</f>
        <v>Cymbidium sinense Huang Jin Yang Lao 黃金養老</v>
      </c>
      <c r="B132" s="25" t="s">
        <v>19</v>
      </c>
      <c r="C132" s="22">
        <v>80</v>
      </c>
    </row>
    <row r="133" spans="1:3" ht="15">
      <c r="A133" s="21" t="str">
        <f>HYPERLINK("https://photos.app.goo.gl/51315SJuzVRtxbtRA","Cymbidium sinense Jin Feng Jin 金鳳錦")</f>
        <v>Cymbidium sinense Jin Feng Jin 金鳳錦</v>
      </c>
      <c r="B133" s="25" t="s">
        <v>19</v>
      </c>
      <c r="C133" s="19">
        <v>30</v>
      </c>
    </row>
    <row r="134" spans="1:3" ht="15">
      <c r="A134" s="23" t="s">
        <v>32</v>
      </c>
      <c r="B134" s="25" t="s">
        <v>19</v>
      </c>
      <c r="C134" s="22">
        <v>130</v>
      </c>
    </row>
    <row r="135" spans="1:3" ht="15">
      <c r="A135" s="21" t="str">
        <f>HYPERLINK("https://photos.app.goo.gl/vesbXLyhr5QZtJkJ6","Cymbidium sinense Jin Niao 金鳥")</f>
        <v>Cymbidium sinense Jin Niao 金鳥</v>
      </c>
      <c r="B135" s="25" t="s">
        <v>19</v>
      </c>
      <c r="C135" s="19">
        <v>35</v>
      </c>
    </row>
    <row r="136" spans="1:3" ht="15">
      <c r="A136" s="23" t="s">
        <v>33</v>
      </c>
      <c r="B136" s="25" t="s">
        <v>19</v>
      </c>
      <c r="C136" s="19">
        <v>35</v>
      </c>
    </row>
    <row r="137" spans="1:3" ht="15">
      <c r="A137" s="21" t="str">
        <f>HYPERLINK("https://photos.app.goo.gl/5K9PCiJ4NZcQr6rd6","Cymbidium sinense Nan Hai Su Qi 南海素奇")</f>
        <v>Cymbidium sinense Nan Hai Su Qi 南海素奇</v>
      </c>
      <c r="B137" s="25" t="s">
        <v>19</v>
      </c>
      <c r="C137" s="22">
        <v>60</v>
      </c>
    </row>
    <row r="138" spans="1:3" ht="15">
      <c r="A138" s="21" t="str">
        <f>HYPERLINK("https://photos.app.goo.gl/DeC3xkbyzhbLvTqK9","Cymbidium sinense Ri Xiang 日向")</f>
        <v>Cymbidium sinense Ri Xiang 日向</v>
      </c>
      <c r="B138" s="25" t="s">
        <v>19</v>
      </c>
      <c r="C138" s="22">
        <v>55</v>
      </c>
    </row>
    <row r="139" spans="1:3" ht="15">
      <c r="A139" s="21" t="str">
        <f>HYPERLINK("https://photos.app.goo.gl/t8NdHXzf8cdJrLWW7","Cymbidium sinense Rui Hua 瑞華")</f>
        <v>Cymbidium sinense Rui Hua 瑞華</v>
      </c>
      <c r="B139" s="25" t="s">
        <v>19</v>
      </c>
      <c r="C139" s="19">
        <v>30</v>
      </c>
    </row>
    <row r="140" spans="1:3" ht="15">
      <c r="A140" s="21" t="str">
        <f>HYPERLINK("https://photos.app.goo.gl/x8rWLxvLdom6EfZL9","Cymbidium sinense Rui Huang 瑞晃")</f>
        <v>Cymbidium sinense Rui Huang 瑞晃</v>
      </c>
      <c r="B140" s="25" t="s">
        <v>19</v>
      </c>
      <c r="C140" s="22">
        <v>60</v>
      </c>
    </row>
    <row r="141" spans="1:3" ht="15">
      <c r="A141" s="23" t="s">
        <v>34</v>
      </c>
      <c r="B141" s="25" t="s">
        <v>19</v>
      </c>
      <c r="C141" s="19">
        <v>30</v>
      </c>
    </row>
    <row r="142" spans="1:3" ht="15">
      <c r="A142" s="21" t="str">
        <f>HYPERLINK("https://photos.app.goo.gl/AUk3NfNwpj6hLZEv7","Cymbidium sinense Shen Zhou Qi Die 神洲奇蝶")</f>
        <v>Cymbidium sinense Shen Zhou Qi Die 神洲奇蝶</v>
      </c>
      <c r="B142" s="25" t="s">
        <v>19</v>
      </c>
      <c r="C142" s="19">
        <v>55</v>
      </c>
    </row>
    <row r="143" spans="1:3" ht="15">
      <c r="A143" s="21" t="str">
        <f>HYPERLINK("https://photos.app.goo.gl/v1YqxMmEWt3GQvRg8","Cymbidium sinense Shi Ba Jiao Zhua 十八嬌爪")</f>
        <v>Cymbidium sinense Shi Ba Jiao Zhua 十八嬌爪</v>
      </c>
      <c r="B143" s="25" t="s">
        <v>19</v>
      </c>
      <c r="C143" s="19">
        <v>35</v>
      </c>
    </row>
    <row r="144" spans="1:3" ht="15">
      <c r="A144" s="21" t="str">
        <f>HYPERLINK("https://photos.app.goo.gl/HqNoiojMA8q5qGiQA","Cymbidium sinense Shi Men Bai Hua 石門白花")</f>
        <v>Cymbidium sinense Shi Men Bai Hua 石門白花</v>
      </c>
      <c r="B144" s="25" t="s">
        <v>19</v>
      </c>
      <c r="C144" s="22">
        <v>80</v>
      </c>
    </row>
    <row r="145" spans="1:3" ht="15">
      <c r="A145" s="21" t="str">
        <f>HYPERLINK("https://photos.app.goo.gl/xKX3Pr5KZ5k39pqK7","Cymbidium sinense Shi Men 石門")</f>
        <v>Cymbidium sinense Shi Men 石門</v>
      </c>
      <c r="B145" s="25" t="s">
        <v>19</v>
      </c>
      <c r="C145" s="19">
        <v>30</v>
      </c>
    </row>
    <row r="146" spans="1:3" ht="15">
      <c r="A146" s="21" t="str">
        <f>HYPERLINK("https://photos.app.goo.gl/61sjDcrv5zXokEqY7","Cymbidium sinense Si Gang Shui 泗港水")</f>
        <v>Cymbidium sinense Si Gang Shui 泗港水</v>
      </c>
      <c r="B146" s="25" t="s">
        <v>19</v>
      </c>
      <c r="C146" s="19">
        <v>35</v>
      </c>
    </row>
    <row r="147" spans="1:3" ht="15">
      <c r="A147" s="21" t="str">
        <f>HYPERLINK("https://photos.app.goo.gl/XTFkstySucNTbSYL9","Cymbidium sinense Tai Ping Yang 太平洋")</f>
        <v>Cymbidium sinense Tai Ping Yang 太平洋</v>
      </c>
      <c r="B147" s="25" t="s">
        <v>19</v>
      </c>
      <c r="C147" s="19">
        <v>38</v>
      </c>
    </row>
    <row r="148" spans="1:3" ht="15">
      <c r="A148" s="23" t="s">
        <v>35</v>
      </c>
      <c r="B148" s="25" t="s">
        <v>19</v>
      </c>
      <c r="C148" s="19">
        <v>30</v>
      </c>
    </row>
    <row r="149" spans="1:3" ht="15">
      <c r="A149" s="21" t="str">
        <f>HYPERLINK("https://photos.app.goo.gl/TRj16pNiocua8GCH7","Cymbidium sinense Tao Ji 桃姬")</f>
        <v>Cymbidium sinense Tao Ji 桃姬</v>
      </c>
      <c r="B149" s="25" t="s">
        <v>19</v>
      </c>
      <c r="C149" s="19">
        <v>38</v>
      </c>
    </row>
    <row r="150" spans="1:3" ht="15">
      <c r="A150" s="21" t="str">
        <f>HYPERLINK("https://photos.app.goo.gl/rxJTY5Gxx28ZcpxZ7","Cymbidium sinense Tian Ci Jin 天賜錦")</f>
        <v>Cymbidium sinense Tian Ci Jin 天賜錦</v>
      </c>
      <c r="B150" s="25" t="s">
        <v>19</v>
      </c>
      <c r="C150" s="19">
        <v>35</v>
      </c>
    </row>
    <row r="151" spans="1:3" ht="15">
      <c r="A151" s="21" t="str">
        <f>HYPERLINK("https://photos.app.goo.gl/ahYVh1cAbHwo3G1u8","Cymbidium sinense Wan Dai Fu Gao Yi 萬代福高藝")</f>
        <v>Cymbidium sinense Wan Dai Fu Gao Yi 萬代福高藝</v>
      </c>
      <c r="B151" s="25" t="s">
        <v>19</v>
      </c>
      <c r="C151" s="22">
        <v>150</v>
      </c>
    </row>
    <row r="152" spans="1:3" ht="15">
      <c r="A152" s="21" t="str">
        <f>HYPERLINK("https://photos.app.goo.gl/53p9kp1QPA2bGvJg7","Cymbidium sinense Wan Dai Fu 萬代福")</f>
        <v>Cymbidium sinense Wan Dai Fu 萬代福</v>
      </c>
      <c r="B152" s="25" t="s">
        <v>19</v>
      </c>
      <c r="C152" s="19">
        <v>35</v>
      </c>
    </row>
    <row r="153" spans="1:3" ht="15">
      <c r="A153" s="21" t="str">
        <f>HYPERLINK("https://photos.app.goo.gl/fHMvgDEwGVb4PcgM8","Cymbidium sinense Wu Cai Mei Die 五彩梅蝶")</f>
        <v>Cymbidium sinense Wu Cai Mei Die 五彩梅蝶</v>
      </c>
      <c r="B153" s="25" t="s">
        <v>19</v>
      </c>
      <c r="C153" s="22">
        <v>60</v>
      </c>
    </row>
    <row r="154" spans="1:3" ht="15">
      <c r="A154" s="21" t="str">
        <f>HYPERLINK("https://photos.app.goo.gl/Q9RMiXZ3cpuny6Km9","Cymbidium sinense Wu Zi Cui 吳字翠")</f>
        <v>Cymbidium sinense Wu Zi Cui 吳字翠</v>
      </c>
      <c r="B154" s="25" t="s">
        <v>19</v>
      </c>
      <c r="C154" s="19">
        <v>38</v>
      </c>
    </row>
    <row r="155" spans="1:3" ht="15">
      <c r="A155" s="23" t="s">
        <v>36</v>
      </c>
      <c r="B155" s="25" t="s">
        <v>19</v>
      </c>
      <c r="C155" s="19">
        <v>35</v>
      </c>
    </row>
    <row r="156" spans="1:3" ht="15">
      <c r="A156" s="21" t="str">
        <f>HYPERLINK("https://photos.app.goo.gl/GJCMQQ2bTgmqTqeu5","Cymbidium sinense Yang Ming Jin 陽明錦")</f>
        <v>Cymbidium sinense Yang Ming Jin 陽明錦</v>
      </c>
      <c r="B156" s="25" t="s">
        <v>19</v>
      </c>
      <c r="C156" s="19">
        <v>35</v>
      </c>
    </row>
    <row r="157" spans="1:3" ht="15">
      <c r="A157" s="21" t="str">
        <f>HYPERLINK("https://photos.app.goo.gl/iYw97BWpu5vDM6m97","Cymbidium sinense Yuan Dong Zhi Xing 遠東之星")</f>
        <v>Cymbidium sinense Yuan Dong Zhi Xing 遠東之星</v>
      </c>
      <c r="B157" s="25" t="s">
        <v>19</v>
      </c>
      <c r="C157" s="19">
        <v>35</v>
      </c>
    </row>
    <row r="158" spans="1:3" ht="13">
      <c r="C158" s="2"/>
    </row>
    <row r="159" spans="1:3" ht="13">
      <c r="C159" s="2"/>
    </row>
    <row r="160" spans="1:3" ht="13">
      <c r="C160" s="2"/>
    </row>
    <row r="161" spans="3:3" ht="13">
      <c r="C161" s="2"/>
    </row>
    <row r="162" spans="3:3" ht="13">
      <c r="C162" s="2"/>
    </row>
    <row r="163" spans="3:3" ht="13">
      <c r="C163" s="2"/>
    </row>
    <row r="164" spans="3:3" ht="13">
      <c r="C164" s="2"/>
    </row>
    <row r="165" spans="3:3" ht="13">
      <c r="C165" s="2"/>
    </row>
    <row r="166" spans="3:3" ht="13">
      <c r="C166" s="2"/>
    </row>
    <row r="167" spans="3:3" ht="13">
      <c r="C167" s="2"/>
    </row>
    <row r="168" spans="3:3" ht="13">
      <c r="C168" s="2"/>
    </row>
    <row r="169" spans="3:3" ht="13">
      <c r="C169" s="2"/>
    </row>
    <row r="170" spans="3:3" ht="13">
      <c r="C170" s="2"/>
    </row>
    <row r="171" spans="3:3" ht="13">
      <c r="C171" s="2"/>
    </row>
    <row r="172" spans="3:3" ht="13">
      <c r="C172" s="2"/>
    </row>
    <row r="173" spans="3:3" ht="13">
      <c r="C173" s="2"/>
    </row>
    <row r="174" spans="3:3" ht="13">
      <c r="C174" s="2"/>
    </row>
    <row r="175" spans="3:3" ht="13">
      <c r="C175" s="2"/>
    </row>
    <row r="176" spans="3:3" ht="13">
      <c r="C176" s="2"/>
    </row>
    <row r="177" spans="3:3" ht="13">
      <c r="C177" s="2"/>
    </row>
    <row r="178" spans="3:3" ht="13">
      <c r="C178" s="2"/>
    </row>
    <row r="179" spans="3:3" ht="13">
      <c r="C179" s="2"/>
    </row>
    <row r="180" spans="3:3" ht="13">
      <c r="C180" s="2"/>
    </row>
    <row r="181" spans="3:3" ht="13">
      <c r="C181" s="2"/>
    </row>
    <row r="182" spans="3:3" ht="13">
      <c r="C182" s="2"/>
    </row>
    <row r="183" spans="3:3" ht="13">
      <c r="C183" s="2"/>
    </row>
    <row r="184" spans="3:3" ht="13">
      <c r="C184" s="2"/>
    </row>
    <row r="185" spans="3:3" ht="13">
      <c r="C185" s="2"/>
    </row>
    <row r="186" spans="3:3" ht="13">
      <c r="C186" s="2"/>
    </row>
    <row r="187" spans="3:3" ht="13">
      <c r="C187" s="2"/>
    </row>
    <row r="188" spans="3:3" ht="13">
      <c r="C188" s="2"/>
    </row>
    <row r="189" spans="3:3" ht="13">
      <c r="C189" s="2"/>
    </row>
    <row r="190" spans="3:3" ht="13">
      <c r="C190" s="2"/>
    </row>
    <row r="191" spans="3:3" ht="13">
      <c r="C191" s="2"/>
    </row>
    <row r="192" spans="3:3" ht="13">
      <c r="C192" s="2"/>
    </row>
    <row r="193" spans="3:3" ht="13">
      <c r="C193" s="2"/>
    </row>
    <row r="194" spans="3:3" ht="13">
      <c r="C194" s="2"/>
    </row>
    <row r="195" spans="3:3" ht="13">
      <c r="C195" s="2"/>
    </row>
    <row r="196" spans="3:3" ht="13">
      <c r="C196" s="2"/>
    </row>
    <row r="197" spans="3:3" ht="13">
      <c r="C197" s="2"/>
    </row>
    <row r="198" spans="3:3" ht="13">
      <c r="C198" s="2"/>
    </row>
    <row r="199" spans="3:3" ht="13">
      <c r="C199" s="2"/>
    </row>
    <row r="200" spans="3:3" ht="13">
      <c r="C200" s="2"/>
    </row>
    <row r="201" spans="3:3" ht="13">
      <c r="C201" s="2"/>
    </row>
    <row r="202" spans="3:3" ht="13">
      <c r="C202" s="2"/>
    </row>
    <row r="203" spans="3:3" ht="13">
      <c r="C203" s="2"/>
    </row>
    <row r="204" spans="3:3" ht="13">
      <c r="C204" s="2"/>
    </row>
    <row r="205" spans="3:3" ht="13">
      <c r="C205" s="2"/>
    </row>
    <row r="206" spans="3:3" ht="13">
      <c r="C206" s="2"/>
    </row>
    <row r="207" spans="3:3" ht="13">
      <c r="C207" s="2"/>
    </row>
    <row r="208" spans="3:3" ht="13">
      <c r="C208" s="2"/>
    </row>
    <row r="209" spans="3:3" ht="13">
      <c r="C209" s="2"/>
    </row>
    <row r="210" spans="3:3" ht="13">
      <c r="C210" s="2"/>
    </row>
    <row r="211" spans="3:3" ht="13">
      <c r="C211" s="2"/>
    </row>
    <row r="212" spans="3:3" ht="13">
      <c r="C212" s="2"/>
    </row>
    <row r="213" spans="3:3" ht="13">
      <c r="C213" s="2"/>
    </row>
    <row r="214" spans="3:3" ht="13">
      <c r="C214" s="2"/>
    </row>
    <row r="215" spans="3:3" ht="13">
      <c r="C215" s="2"/>
    </row>
    <row r="216" spans="3:3" ht="13">
      <c r="C216" s="2"/>
    </row>
    <row r="217" spans="3:3" ht="13">
      <c r="C217" s="2"/>
    </row>
    <row r="218" spans="3:3" ht="13">
      <c r="C218" s="2"/>
    </row>
    <row r="219" spans="3:3" ht="13">
      <c r="C219" s="2"/>
    </row>
    <row r="220" spans="3:3" ht="13">
      <c r="C220" s="2"/>
    </row>
    <row r="221" spans="3:3" ht="13">
      <c r="C221" s="2"/>
    </row>
    <row r="222" spans="3:3" ht="13">
      <c r="C222" s="2"/>
    </row>
    <row r="223" spans="3:3" ht="13">
      <c r="C223" s="2"/>
    </row>
    <row r="224" spans="3:3" ht="13">
      <c r="C224" s="2"/>
    </row>
    <row r="225" spans="3:3" ht="13">
      <c r="C225" s="2"/>
    </row>
    <row r="226" spans="3:3" ht="13">
      <c r="C226" s="2"/>
    </row>
    <row r="227" spans="3:3" ht="13">
      <c r="C227" s="2"/>
    </row>
    <row r="228" spans="3:3" ht="13">
      <c r="C228" s="2"/>
    </row>
    <row r="229" spans="3:3" ht="13">
      <c r="C229" s="2"/>
    </row>
    <row r="230" spans="3:3" ht="13">
      <c r="C230" s="2"/>
    </row>
    <row r="231" spans="3:3" ht="13">
      <c r="C231" s="2"/>
    </row>
    <row r="232" spans="3:3" ht="13">
      <c r="C232" s="2"/>
    </row>
    <row r="233" spans="3:3" ht="13">
      <c r="C233" s="2"/>
    </row>
    <row r="234" spans="3:3" ht="13">
      <c r="C234" s="2"/>
    </row>
    <row r="235" spans="3:3" ht="13">
      <c r="C235" s="2"/>
    </row>
    <row r="236" spans="3:3" ht="13">
      <c r="C236" s="2"/>
    </row>
    <row r="237" spans="3:3" ht="13">
      <c r="C237" s="2"/>
    </row>
    <row r="238" spans="3:3" ht="13">
      <c r="C238" s="2"/>
    </row>
    <row r="239" spans="3:3" ht="13">
      <c r="C239" s="2"/>
    </row>
    <row r="240" spans="3:3" ht="13">
      <c r="C240" s="2"/>
    </row>
    <row r="241" spans="3:3" ht="13">
      <c r="C241" s="2"/>
    </row>
    <row r="242" spans="3:3" ht="13">
      <c r="C242" s="2"/>
    </row>
    <row r="243" spans="3:3" ht="13">
      <c r="C243" s="2"/>
    </row>
    <row r="244" spans="3:3" ht="13">
      <c r="C244" s="2"/>
    </row>
    <row r="245" spans="3:3" ht="13">
      <c r="C245" s="2"/>
    </row>
    <row r="246" spans="3:3" ht="13">
      <c r="C246" s="2"/>
    </row>
    <row r="247" spans="3:3" ht="13">
      <c r="C247" s="2"/>
    </row>
    <row r="248" spans="3:3" ht="13">
      <c r="C248" s="2"/>
    </row>
    <row r="249" spans="3:3" ht="13">
      <c r="C249" s="2"/>
    </row>
    <row r="250" spans="3:3" ht="13">
      <c r="C250" s="2"/>
    </row>
    <row r="251" spans="3:3" ht="13">
      <c r="C251" s="2"/>
    </row>
    <row r="252" spans="3:3" ht="13">
      <c r="C252" s="2"/>
    </row>
    <row r="253" spans="3:3" ht="13">
      <c r="C253" s="2"/>
    </row>
    <row r="254" spans="3:3" ht="13">
      <c r="C254" s="2"/>
    </row>
    <row r="255" spans="3:3" ht="13">
      <c r="C255" s="2"/>
    </row>
    <row r="256" spans="3:3" ht="13">
      <c r="C256" s="2"/>
    </row>
    <row r="257" spans="3:3" ht="13">
      <c r="C257" s="2"/>
    </row>
    <row r="258" spans="3:3" ht="13">
      <c r="C258" s="2"/>
    </row>
    <row r="259" spans="3:3" ht="13">
      <c r="C259" s="2"/>
    </row>
    <row r="260" spans="3:3" ht="13">
      <c r="C260" s="2"/>
    </row>
    <row r="261" spans="3:3" ht="13">
      <c r="C261" s="2"/>
    </row>
    <row r="262" spans="3:3" ht="13">
      <c r="C262" s="2"/>
    </row>
    <row r="263" spans="3:3" ht="13">
      <c r="C263" s="2"/>
    </row>
    <row r="264" spans="3:3" ht="13">
      <c r="C264" s="2"/>
    </row>
    <row r="265" spans="3:3" ht="13">
      <c r="C265" s="2"/>
    </row>
    <row r="266" spans="3:3" ht="13">
      <c r="C266" s="2"/>
    </row>
    <row r="267" spans="3:3" ht="13">
      <c r="C267" s="2"/>
    </row>
    <row r="268" spans="3:3" ht="13">
      <c r="C268" s="2"/>
    </row>
    <row r="269" spans="3:3" ht="13">
      <c r="C269" s="2"/>
    </row>
    <row r="270" spans="3:3" ht="13">
      <c r="C270" s="2"/>
    </row>
    <row r="271" spans="3:3" ht="13">
      <c r="C271" s="2"/>
    </row>
    <row r="272" spans="3:3" ht="13">
      <c r="C272" s="2"/>
    </row>
    <row r="273" spans="3:3" ht="13">
      <c r="C273" s="2"/>
    </row>
    <row r="274" spans="3:3" ht="13">
      <c r="C274" s="2"/>
    </row>
    <row r="275" spans="3:3" ht="13">
      <c r="C275" s="2"/>
    </row>
    <row r="276" spans="3:3" ht="13">
      <c r="C276" s="2"/>
    </row>
    <row r="277" spans="3:3" ht="13">
      <c r="C277" s="2"/>
    </row>
    <row r="278" spans="3:3" ht="13">
      <c r="C278" s="2"/>
    </row>
    <row r="279" spans="3:3" ht="13">
      <c r="C279" s="2"/>
    </row>
    <row r="280" spans="3:3" ht="13">
      <c r="C280" s="2"/>
    </row>
    <row r="281" spans="3:3" ht="13">
      <c r="C281" s="2"/>
    </row>
    <row r="282" spans="3:3" ht="13">
      <c r="C282" s="2"/>
    </row>
    <row r="283" spans="3:3" ht="13">
      <c r="C283" s="2"/>
    </row>
    <row r="284" spans="3:3" ht="13">
      <c r="C284" s="2"/>
    </row>
    <row r="285" spans="3:3" ht="13">
      <c r="C285" s="2"/>
    </row>
    <row r="286" spans="3:3" ht="13">
      <c r="C286" s="2"/>
    </row>
    <row r="287" spans="3:3" ht="13">
      <c r="C287" s="2"/>
    </row>
    <row r="288" spans="3:3" ht="13">
      <c r="C288" s="2"/>
    </row>
    <row r="289" spans="3:3" ht="13">
      <c r="C289" s="2"/>
    </row>
    <row r="290" spans="3:3" ht="13">
      <c r="C290" s="2"/>
    </row>
    <row r="291" spans="3:3" ht="13">
      <c r="C291" s="2"/>
    </row>
    <row r="292" spans="3:3" ht="13">
      <c r="C292" s="2"/>
    </row>
    <row r="293" spans="3:3" ht="13">
      <c r="C293" s="2"/>
    </row>
    <row r="294" spans="3:3" ht="13">
      <c r="C294" s="2"/>
    </row>
    <row r="295" spans="3:3" ht="13">
      <c r="C295" s="2"/>
    </row>
    <row r="296" spans="3:3" ht="13">
      <c r="C296" s="2"/>
    </row>
    <row r="297" spans="3:3" ht="13">
      <c r="C297" s="2"/>
    </row>
    <row r="298" spans="3:3" ht="13">
      <c r="C298" s="2"/>
    </row>
    <row r="299" spans="3:3" ht="13">
      <c r="C299" s="2"/>
    </row>
    <row r="300" spans="3:3" ht="13">
      <c r="C300" s="2"/>
    </row>
    <row r="301" spans="3:3" ht="13">
      <c r="C301" s="2"/>
    </row>
    <row r="302" spans="3:3" ht="13">
      <c r="C302" s="2"/>
    </row>
    <row r="303" spans="3:3" ht="13">
      <c r="C303" s="2"/>
    </row>
    <row r="304" spans="3:3" ht="13">
      <c r="C304" s="2"/>
    </row>
    <row r="305" spans="3:3" ht="13">
      <c r="C305" s="2"/>
    </row>
    <row r="306" spans="3:3" ht="13">
      <c r="C306" s="2"/>
    </row>
    <row r="307" spans="3:3" ht="13">
      <c r="C307" s="2"/>
    </row>
    <row r="308" spans="3:3" ht="13">
      <c r="C308" s="2"/>
    </row>
    <row r="309" spans="3:3" ht="13">
      <c r="C309" s="2"/>
    </row>
    <row r="310" spans="3:3" ht="13">
      <c r="C310" s="2"/>
    </row>
    <row r="311" spans="3:3" ht="13">
      <c r="C311" s="2"/>
    </row>
    <row r="312" spans="3:3" ht="13">
      <c r="C312" s="2"/>
    </row>
    <row r="313" spans="3:3" ht="13">
      <c r="C313" s="2"/>
    </row>
    <row r="314" spans="3:3" ht="13">
      <c r="C314" s="2"/>
    </row>
    <row r="315" spans="3:3" ht="13">
      <c r="C315" s="2"/>
    </row>
    <row r="316" spans="3:3" ht="13">
      <c r="C316" s="2"/>
    </row>
    <row r="317" spans="3:3" ht="13">
      <c r="C317" s="2"/>
    </row>
    <row r="318" spans="3:3" ht="13">
      <c r="C318" s="2"/>
    </row>
    <row r="319" spans="3:3" ht="13">
      <c r="C319" s="2"/>
    </row>
    <row r="320" spans="3:3" ht="13">
      <c r="C320" s="2"/>
    </row>
    <row r="321" spans="3:3" ht="13">
      <c r="C321" s="2"/>
    </row>
    <row r="322" spans="3:3" ht="13">
      <c r="C322" s="2"/>
    </row>
    <row r="323" spans="3:3" ht="13">
      <c r="C323" s="2"/>
    </row>
    <row r="324" spans="3:3" ht="13">
      <c r="C324" s="2"/>
    </row>
    <row r="325" spans="3:3" ht="13">
      <c r="C325" s="2"/>
    </row>
    <row r="326" spans="3:3" ht="13">
      <c r="C326" s="2"/>
    </row>
    <row r="327" spans="3:3" ht="13">
      <c r="C327" s="2"/>
    </row>
    <row r="328" spans="3:3" ht="13">
      <c r="C328" s="2"/>
    </row>
    <row r="329" spans="3:3" ht="13">
      <c r="C329" s="2"/>
    </row>
    <row r="330" spans="3:3" ht="13">
      <c r="C330" s="2"/>
    </row>
    <row r="331" spans="3:3" ht="13">
      <c r="C331" s="2"/>
    </row>
    <row r="332" spans="3:3" ht="13">
      <c r="C332" s="2"/>
    </row>
    <row r="333" spans="3:3" ht="13">
      <c r="C333" s="2"/>
    </row>
    <row r="334" spans="3:3" ht="13">
      <c r="C334" s="2"/>
    </row>
    <row r="335" spans="3:3" ht="13">
      <c r="C335" s="2"/>
    </row>
    <row r="336" spans="3:3" ht="13">
      <c r="C336" s="2"/>
    </row>
    <row r="337" spans="3:3" ht="13">
      <c r="C337" s="2"/>
    </row>
    <row r="338" spans="3:3" ht="13">
      <c r="C338" s="2"/>
    </row>
    <row r="339" spans="3:3" ht="13">
      <c r="C339" s="2"/>
    </row>
    <row r="340" spans="3:3" ht="13">
      <c r="C340" s="2"/>
    </row>
    <row r="341" spans="3:3" ht="13">
      <c r="C341" s="2"/>
    </row>
    <row r="342" spans="3:3" ht="13">
      <c r="C342" s="2"/>
    </row>
    <row r="343" spans="3:3" ht="13">
      <c r="C343" s="2"/>
    </row>
    <row r="344" spans="3:3" ht="13">
      <c r="C344" s="2"/>
    </row>
    <row r="345" spans="3:3" ht="13">
      <c r="C345" s="2"/>
    </row>
    <row r="346" spans="3:3" ht="13">
      <c r="C346" s="2"/>
    </row>
    <row r="347" spans="3:3" ht="13">
      <c r="C347" s="2"/>
    </row>
    <row r="348" spans="3:3" ht="13">
      <c r="C348" s="2"/>
    </row>
    <row r="349" spans="3:3" ht="13">
      <c r="C349" s="2"/>
    </row>
    <row r="350" spans="3:3" ht="13">
      <c r="C350" s="2"/>
    </row>
    <row r="351" spans="3:3" ht="13">
      <c r="C351" s="2"/>
    </row>
    <row r="352" spans="3:3" ht="13">
      <c r="C352" s="2"/>
    </row>
    <row r="353" spans="3:3" ht="13">
      <c r="C353" s="2"/>
    </row>
    <row r="354" spans="3:3" ht="13">
      <c r="C354" s="2"/>
    </row>
    <row r="355" spans="3:3" ht="13">
      <c r="C355" s="2"/>
    </row>
    <row r="356" spans="3:3" ht="13">
      <c r="C356" s="2"/>
    </row>
    <row r="357" spans="3:3" ht="13">
      <c r="C357" s="2"/>
    </row>
    <row r="358" spans="3:3" ht="13">
      <c r="C358" s="2"/>
    </row>
    <row r="359" spans="3:3" ht="13">
      <c r="C359" s="2"/>
    </row>
    <row r="360" spans="3:3" ht="13">
      <c r="C360" s="2"/>
    </row>
    <row r="361" spans="3:3" ht="13">
      <c r="C361" s="2"/>
    </row>
    <row r="362" spans="3:3" ht="13">
      <c r="C362" s="2"/>
    </row>
    <row r="363" spans="3:3" ht="13">
      <c r="C363" s="2"/>
    </row>
    <row r="364" spans="3:3" ht="13">
      <c r="C364" s="2"/>
    </row>
    <row r="365" spans="3:3" ht="13">
      <c r="C365" s="2"/>
    </row>
    <row r="366" spans="3:3" ht="13">
      <c r="C366" s="2"/>
    </row>
    <row r="367" spans="3:3" ht="13">
      <c r="C367" s="2"/>
    </row>
    <row r="368" spans="3:3" ht="13">
      <c r="C368" s="2"/>
    </row>
    <row r="369" spans="3:3" ht="13">
      <c r="C369" s="2"/>
    </row>
    <row r="370" spans="3:3" ht="13">
      <c r="C370" s="2"/>
    </row>
    <row r="371" spans="3:3" ht="13">
      <c r="C371" s="2"/>
    </row>
    <row r="372" spans="3:3" ht="13">
      <c r="C372" s="2"/>
    </row>
    <row r="373" spans="3:3" ht="13">
      <c r="C373" s="2"/>
    </row>
    <row r="374" spans="3:3" ht="13">
      <c r="C374" s="2"/>
    </row>
    <row r="375" spans="3:3" ht="13">
      <c r="C375" s="2"/>
    </row>
    <row r="376" spans="3:3" ht="13">
      <c r="C376" s="2"/>
    </row>
    <row r="377" spans="3:3" ht="13">
      <c r="C377" s="2"/>
    </row>
    <row r="378" spans="3:3" ht="13">
      <c r="C378" s="2"/>
    </row>
    <row r="379" spans="3:3" ht="13">
      <c r="C379" s="2"/>
    </row>
    <row r="380" spans="3:3" ht="13">
      <c r="C380" s="2"/>
    </row>
    <row r="381" spans="3:3" ht="13">
      <c r="C381" s="2"/>
    </row>
    <row r="382" spans="3:3" ht="13">
      <c r="C382" s="2"/>
    </row>
    <row r="383" spans="3:3" ht="13">
      <c r="C383" s="2"/>
    </row>
    <row r="384" spans="3:3" ht="13">
      <c r="C384" s="2"/>
    </row>
    <row r="385" spans="3:3" ht="13">
      <c r="C385" s="2"/>
    </row>
    <row r="386" spans="3:3" ht="13">
      <c r="C386" s="2"/>
    </row>
    <row r="387" spans="3:3" ht="13">
      <c r="C387" s="2"/>
    </row>
    <row r="388" spans="3:3" ht="13">
      <c r="C388" s="2"/>
    </row>
    <row r="389" spans="3:3" ht="13">
      <c r="C389" s="2"/>
    </row>
    <row r="390" spans="3:3" ht="13">
      <c r="C390" s="2"/>
    </row>
    <row r="391" spans="3:3" ht="13">
      <c r="C391" s="2"/>
    </row>
    <row r="392" spans="3:3" ht="13">
      <c r="C392" s="2"/>
    </row>
    <row r="393" spans="3:3" ht="13">
      <c r="C393" s="2"/>
    </row>
    <row r="394" spans="3:3" ht="13">
      <c r="C394" s="2"/>
    </row>
    <row r="395" spans="3:3" ht="13">
      <c r="C395" s="2"/>
    </row>
    <row r="396" spans="3:3" ht="13">
      <c r="C396" s="2"/>
    </row>
    <row r="397" spans="3:3" ht="13">
      <c r="C397" s="2"/>
    </row>
    <row r="398" spans="3:3" ht="13">
      <c r="C398" s="2"/>
    </row>
    <row r="399" spans="3:3" ht="13">
      <c r="C399" s="2"/>
    </row>
    <row r="400" spans="3:3" ht="13">
      <c r="C400" s="2"/>
    </row>
    <row r="401" spans="3:3" ht="13">
      <c r="C401" s="2"/>
    </row>
    <row r="402" spans="3:3" ht="13">
      <c r="C402" s="2"/>
    </row>
    <row r="403" spans="3:3" ht="13">
      <c r="C403" s="2"/>
    </row>
    <row r="404" spans="3:3" ht="13">
      <c r="C404" s="2"/>
    </row>
    <row r="405" spans="3:3" ht="13">
      <c r="C405" s="2"/>
    </row>
    <row r="406" spans="3:3" ht="13">
      <c r="C406" s="2"/>
    </row>
    <row r="407" spans="3:3" ht="13">
      <c r="C407" s="2"/>
    </row>
    <row r="408" spans="3:3" ht="13">
      <c r="C408" s="2"/>
    </row>
    <row r="409" spans="3:3" ht="13">
      <c r="C409" s="2"/>
    </row>
    <row r="410" spans="3:3" ht="13">
      <c r="C410" s="2"/>
    </row>
    <row r="411" spans="3:3" ht="13">
      <c r="C411" s="2"/>
    </row>
    <row r="412" spans="3:3" ht="13">
      <c r="C412" s="2"/>
    </row>
    <row r="413" spans="3:3" ht="13">
      <c r="C413" s="2"/>
    </row>
    <row r="414" spans="3:3" ht="13">
      <c r="C414" s="2"/>
    </row>
    <row r="415" spans="3:3" ht="13">
      <c r="C415" s="2"/>
    </row>
    <row r="416" spans="3:3" ht="13">
      <c r="C416" s="2"/>
    </row>
    <row r="417" spans="3:3" ht="13">
      <c r="C417" s="2"/>
    </row>
    <row r="418" spans="3:3" ht="13">
      <c r="C418" s="2"/>
    </row>
    <row r="419" spans="3:3" ht="13">
      <c r="C419" s="2"/>
    </row>
    <row r="420" spans="3:3" ht="13">
      <c r="C420" s="2"/>
    </row>
    <row r="421" spans="3:3" ht="13">
      <c r="C421" s="2"/>
    </row>
    <row r="422" spans="3:3" ht="13">
      <c r="C422" s="2"/>
    </row>
    <row r="423" spans="3:3" ht="13">
      <c r="C423" s="2"/>
    </row>
    <row r="424" spans="3:3" ht="13">
      <c r="C424" s="2"/>
    </row>
    <row r="425" spans="3:3" ht="13">
      <c r="C425" s="2"/>
    </row>
    <row r="426" spans="3:3" ht="13">
      <c r="C426" s="2"/>
    </row>
    <row r="427" spans="3:3" ht="13">
      <c r="C427" s="2"/>
    </row>
    <row r="428" spans="3:3" ht="13">
      <c r="C428" s="2"/>
    </row>
    <row r="429" spans="3:3" ht="13">
      <c r="C429" s="2"/>
    </row>
    <row r="430" spans="3:3" ht="13">
      <c r="C430" s="2"/>
    </row>
    <row r="431" spans="3:3" ht="13">
      <c r="C431" s="2"/>
    </row>
    <row r="432" spans="3:3" ht="13">
      <c r="C432" s="2"/>
    </row>
    <row r="433" spans="3:3" ht="13">
      <c r="C433" s="2"/>
    </row>
    <row r="434" spans="3:3" ht="13">
      <c r="C434" s="2"/>
    </row>
    <row r="435" spans="3:3" ht="13">
      <c r="C435" s="2"/>
    </row>
    <row r="436" spans="3:3" ht="13">
      <c r="C436" s="2"/>
    </row>
    <row r="437" spans="3:3" ht="13">
      <c r="C437" s="2"/>
    </row>
    <row r="438" spans="3:3" ht="13">
      <c r="C438" s="2"/>
    </row>
    <row r="439" spans="3:3" ht="13">
      <c r="C439" s="2"/>
    </row>
    <row r="440" spans="3:3" ht="13">
      <c r="C440" s="2"/>
    </row>
    <row r="441" spans="3:3" ht="13">
      <c r="C441" s="2"/>
    </row>
    <row r="442" spans="3:3" ht="13">
      <c r="C442" s="2"/>
    </row>
    <row r="443" spans="3:3" ht="13">
      <c r="C443" s="2"/>
    </row>
    <row r="444" spans="3:3" ht="13">
      <c r="C444" s="2"/>
    </row>
    <row r="445" spans="3:3" ht="13">
      <c r="C445" s="2"/>
    </row>
    <row r="446" spans="3:3" ht="13">
      <c r="C446" s="2"/>
    </row>
    <row r="447" spans="3:3" ht="13">
      <c r="C447" s="2"/>
    </row>
    <row r="448" spans="3:3" ht="13">
      <c r="C448" s="2"/>
    </row>
    <row r="449" spans="3:3" ht="13">
      <c r="C449" s="2"/>
    </row>
    <row r="450" spans="3:3" ht="13">
      <c r="C450" s="2"/>
    </row>
    <row r="451" spans="3:3" ht="13">
      <c r="C451" s="2"/>
    </row>
    <row r="452" spans="3:3" ht="13">
      <c r="C452" s="2"/>
    </row>
    <row r="453" spans="3:3" ht="13">
      <c r="C453" s="2"/>
    </row>
    <row r="454" spans="3:3" ht="13">
      <c r="C454" s="2"/>
    </row>
    <row r="455" spans="3:3" ht="13">
      <c r="C455" s="2"/>
    </row>
    <row r="456" spans="3:3" ht="13">
      <c r="C456" s="2"/>
    </row>
    <row r="457" spans="3:3" ht="13">
      <c r="C457" s="2"/>
    </row>
    <row r="458" spans="3:3" ht="13">
      <c r="C458" s="2"/>
    </row>
    <row r="459" spans="3:3" ht="13">
      <c r="C459" s="2"/>
    </row>
    <row r="460" spans="3:3" ht="13">
      <c r="C460" s="2"/>
    </row>
    <row r="461" spans="3:3" ht="13">
      <c r="C461" s="2"/>
    </row>
    <row r="462" spans="3:3" ht="13">
      <c r="C462" s="2"/>
    </row>
    <row r="463" spans="3:3" ht="13">
      <c r="C463" s="2"/>
    </row>
    <row r="464" spans="3:3" ht="13">
      <c r="C464" s="2"/>
    </row>
    <row r="465" spans="3:3" ht="13">
      <c r="C465" s="2"/>
    </row>
    <row r="466" spans="3:3" ht="13">
      <c r="C466" s="2"/>
    </row>
    <row r="467" spans="3:3" ht="13">
      <c r="C467" s="2"/>
    </row>
    <row r="468" spans="3:3" ht="13">
      <c r="C468" s="2"/>
    </row>
    <row r="469" spans="3:3" ht="13">
      <c r="C469" s="2"/>
    </row>
    <row r="470" spans="3:3" ht="13">
      <c r="C470" s="2"/>
    </row>
    <row r="471" spans="3:3" ht="13">
      <c r="C471" s="2"/>
    </row>
    <row r="472" spans="3:3" ht="13">
      <c r="C472" s="2"/>
    </row>
    <row r="473" spans="3:3" ht="13">
      <c r="C473" s="2"/>
    </row>
    <row r="474" spans="3:3" ht="13">
      <c r="C474" s="2"/>
    </row>
    <row r="475" spans="3:3" ht="13">
      <c r="C475" s="2"/>
    </row>
    <row r="476" spans="3:3" ht="13">
      <c r="C476" s="2"/>
    </row>
    <row r="477" spans="3:3" ht="13">
      <c r="C477" s="2"/>
    </row>
    <row r="478" spans="3:3" ht="13">
      <c r="C478" s="2"/>
    </row>
    <row r="479" spans="3:3" ht="13">
      <c r="C479" s="2"/>
    </row>
    <row r="480" spans="3:3" ht="13">
      <c r="C480" s="2"/>
    </row>
    <row r="481" spans="3:3" ht="13">
      <c r="C481" s="2"/>
    </row>
    <row r="482" spans="3:3" ht="13">
      <c r="C482" s="2"/>
    </row>
    <row r="483" spans="3:3" ht="13">
      <c r="C483" s="2"/>
    </row>
    <row r="484" spans="3:3" ht="13">
      <c r="C484" s="2"/>
    </row>
    <row r="485" spans="3:3" ht="13">
      <c r="C485" s="2"/>
    </row>
    <row r="486" spans="3:3" ht="13">
      <c r="C486" s="2"/>
    </row>
    <row r="487" spans="3:3" ht="13">
      <c r="C487" s="2"/>
    </row>
    <row r="488" spans="3:3" ht="13">
      <c r="C488" s="2"/>
    </row>
    <row r="489" spans="3:3" ht="13">
      <c r="C489" s="2"/>
    </row>
    <row r="490" spans="3:3" ht="13">
      <c r="C490" s="2"/>
    </row>
    <row r="491" spans="3:3" ht="13">
      <c r="C491" s="2"/>
    </row>
    <row r="492" spans="3:3" ht="13">
      <c r="C492" s="2"/>
    </row>
    <row r="493" spans="3:3" ht="13">
      <c r="C493" s="2"/>
    </row>
    <row r="494" spans="3:3" ht="13">
      <c r="C494" s="2"/>
    </row>
    <row r="495" spans="3:3" ht="13">
      <c r="C495" s="2"/>
    </row>
    <row r="496" spans="3:3" ht="13">
      <c r="C496" s="2"/>
    </row>
    <row r="497" spans="3:3" ht="13">
      <c r="C497" s="2"/>
    </row>
    <row r="498" spans="3:3" ht="13">
      <c r="C498" s="2"/>
    </row>
    <row r="499" spans="3:3" ht="13">
      <c r="C499" s="2"/>
    </row>
    <row r="500" spans="3:3" ht="13">
      <c r="C500" s="2"/>
    </row>
    <row r="501" spans="3:3" ht="13">
      <c r="C501" s="2"/>
    </row>
    <row r="502" spans="3:3" ht="13">
      <c r="C502" s="2"/>
    </row>
    <row r="503" spans="3:3" ht="13">
      <c r="C503" s="2"/>
    </row>
    <row r="504" spans="3:3" ht="13">
      <c r="C504" s="2"/>
    </row>
    <row r="505" spans="3:3" ht="13">
      <c r="C505" s="2"/>
    </row>
    <row r="506" spans="3:3" ht="13">
      <c r="C506" s="2"/>
    </row>
    <row r="507" spans="3:3" ht="13">
      <c r="C507" s="2"/>
    </row>
    <row r="508" spans="3:3" ht="13">
      <c r="C508" s="2"/>
    </row>
    <row r="509" spans="3:3" ht="13">
      <c r="C509" s="2"/>
    </row>
    <row r="510" spans="3:3" ht="13">
      <c r="C510" s="2"/>
    </row>
    <row r="511" spans="3:3" ht="13">
      <c r="C511" s="2"/>
    </row>
    <row r="512" spans="3:3" ht="13">
      <c r="C512" s="2"/>
    </row>
    <row r="513" spans="3:3" ht="13">
      <c r="C513" s="2"/>
    </row>
    <row r="514" spans="3:3" ht="13">
      <c r="C514" s="2"/>
    </row>
    <row r="515" spans="3:3" ht="13">
      <c r="C515" s="2"/>
    </row>
    <row r="516" spans="3:3" ht="13">
      <c r="C516" s="2"/>
    </row>
    <row r="517" spans="3:3" ht="13">
      <c r="C517" s="2"/>
    </row>
    <row r="518" spans="3:3" ht="13">
      <c r="C518" s="2"/>
    </row>
    <row r="519" spans="3:3" ht="13">
      <c r="C519" s="2"/>
    </row>
    <row r="520" spans="3:3" ht="13">
      <c r="C520" s="2"/>
    </row>
    <row r="521" spans="3:3" ht="13">
      <c r="C521" s="2"/>
    </row>
    <row r="522" spans="3:3" ht="13">
      <c r="C522" s="2"/>
    </row>
    <row r="523" spans="3:3" ht="13">
      <c r="C523" s="2"/>
    </row>
    <row r="524" spans="3:3" ht="13">
      <c r="C524" s="2"/>
    </row>
    <row r="525" spans="3:3" ht="13">
      <c r="C525" s="2"/>
    </row>
    <row r="526" spans="3:3" ht="13">
      <c r="C526" s="2"/>
    </row>
    <row r="527" spans="3:3" ht="13">
      <c r="C527" s="2"/>
    </row>
    <row r="528" spans="3:3" ht="13">
      <c r="C528" s="2"/>
    </row>
    <row r="529" spans="3:3" ht="13">
      <c r="C529" s="2"/>
    </row>
    <row r="530" spans="3:3" ht="13">
      <c r="C530" s="2"/>
    </row>
    <row r="531" spans="3:3" ht="13">
      <c r="C531" s="2"/>
    </row>
    <row r="532" spans="3:3" ht="13">
      <c r="C532" s="2"/>
    </row>
    <row r="533" spans="3:3" ht="13">
      <c r="C533" s="2"/>
    </row>
    <row r="534" spans="3:3" ht="13">
      <c r="C534" s="2"/>
    </row>
    <row r="535" spans="3:3" ht="13">
      <c r="C535" s="2"/>
    </row>
    <row r="536" spans="3:3" ht="13">
      <c r="C536" s="2"/>
    </row>
    <row r="537" spans="3:3" ht="13">
      <c r="C537" s="2"/>
    </row>
    <row r="538" spans="3:3" ht="13">
      <c r="C538" s="2"/>
    </row>
    <row r="539" spans="3:3" ht="13">
      <c r="C539" s="2"/>
    </row>
    <row r="540" spans="3:3" ht="13">
      <c r="C540" s="2"/>
    </row>
    <row r="541" spans="3:3" ht="13">
      <c r="C541" s="2"/>
    </row>
    <row r="542" spans="3:3" ht="13">
      <c r="C542" s="2"/>
    </row>
    <row r="543" spans="3:3" ht="13">
      <c r="C543" s="2"/>
    </row>
    <row r="544" spans="3:3" ht="13">
      <c r="C544" s="2"/>
    </row>
    <row r="545" spans="3:3" ht="13">
      <c r="C545" s="2"/>
    </row>
    <row r="546" spans="3:3" ht="13">
      <c r="C546" s="2"/>
    </row>
    <row r="547" spans="3:3" ht="13">
      <c r="C547" s="2"/>
    </row>
    <row r="548" spans="3:3" ht="13">
      <c r="C548" s="2"/>
    </row>
    <row r="549" spans="3:3" ht="13">
      <c r="C549" s="2"/>
    </row>
    <row r="550" spans="3:3" ht="13">
      <c r="C550" s="2"/>
    </row>
    <row r="551" spans="3:3" ht="13">
      <c r="C551" s="2"/>
    </row>
    <row r="552" spans="3:3" ht="13">
      <c r="C552" s="2"/>
    </row>
    <row r="553" spans="3:3" ht="13">
      <c r="C553" s="2"/>
    </row>
    <row r="554" spans="3:3" ht="13">
      <c r="C554" s="2"/>
    </row>
    <row r="555" spans="3:3" ht="13">
      <c r="C555" s="2"/>
    </row>
    <row r="556" spans="3:3" ht="13">
      <c r="C556" s="2"/>
    </row>
    <row r="557" spans="3:3" ht="13">
      <c r="C557" s="2"/>
    </row>
    <row r="558" spans="3:3" ht="13">
      <c r="C558" s="2"/>
    </row>
    <row r="559" spans="3:3" ht="13">
      <c r="C559" s="2"/>
    </row>
    <row r="560" spans="3:3" ht="13">
      <c r="C560" s="2"/>
    </row>
    <row r="561" spans="3:3" ht="13">
      <c r="C561" s="2"/>
    </row>
    <row r="562" spans="3:3" ht="13">
      <c r="C562" s="2"/>
    </row>
    <row r="563" spans="3:3" ht="13">
      <c r="C563" s="2"/>
    </row>
    <row r="564" spans="3:3" ht="13">
      <c r="C564" s="2"/>
    </row>
    <row r="565" spans="3:3" ht="13">
      <c r="C565" s="2"/>
    </row>
    <row r="566" spans="3:3" ht="13">
      <c r="C566" s="2"/>
    </row>
    <row r="567" spans="3:3" ht="13">
      <c r="C567" s="2"/>
    </row>
    <row r="568" spans="3:3" ht="13">
      <c r="C568" s="2"/>
    </row>
    <row r="569" spans="3:3" ht="13">
      <c r="C569" s="2"/>
    </row>
    <row r="570" spans="3:3" ht="13">
      <c r="C570" s="2"/>
    </row>
    <row r="571" spans="3:3" ht="13">
      <c r="C571" s="2"/>
    </row>
    <row r="572" spans="3:3" ht="13">
      <c r="C572" s="2"/>
    </row>
    <row r="573" spans="3:3" ht="13">
      <c r="C573" s="2"/>
    </row>
    <row r="574" spans="3:3" ht="13">
      <c r="C574" s="2"/>
    </row>
    <row r="575" spans="3:3" ht="13">
      <c r="C575" s="2"/>
    </row>
    <row r="576" spans="3:3" ht="13">
      <c r="C576" s="2"/>
    </row>
    <row r="577" spans="3:3" ht="13">
      <c r="C577" s="2"/>
    </row>
    <row r="578" spans="3:3" ht="13">
      <c r="C578" s="2"/>
    </row>
    <row r="579" spans="3:3" ht="13">
      <c r="C579" s="2"/>
    </row>
    <row r="580" spans="3:3" ht="13">
      <c r="C580" s="2"/>
    </row>
    <row r="581" spans="3:3" ht="13">
      <c r="C581" s="2"/>
    </row>
    <row r="582" spans="3:3" ht="13">
      <c r="C582" s="2"/>
    </row>
    <row r="583" spans="3:3" ht="13">
      <c r="C583" s="2"/>
    </row>
    <row r="584" spans="3:3" ht="13">
      <c r="C584" s="2"/>
    </row>
    <row r="585" spans="3:3" ht="13">
      <c r="C585" s="2"/>
    </row>
    <row r="586" spans="3:3" ht="13">
      <c r="C586" s="2"/>
    </row>
    <row r="587" spans="3:3" ht="13">
      <c r="C587" s="2"/>
    </row>
    <row r="588" spans="3:3" ht="13">
      <c r="C588" s="2"/>
    </row>
    <row r="589" spans="3:3" ht="13">
      <c r="C589" s="2"/>
    </row>
    <row r="590" spans="3:3" ht="13">
      <c r="C590" s="2"/>
    </row>
    <row r="591" spans="3:3" ht="13">
      <c r="C591" s="2"/>
    </row>
    <row r="592" spans="3:3" ht="13">
      <c r="C592" s="2"/>
    </row>
    <row r="593" spans="3:3" ht="13">
      <c r="C593" s="2"/>
    </row>
    <row r="594" spans="3:3" ht="13">
      <c r="C594" s="2"/>
    </row>
    <row r="595" spans="3:3" ht="13">
      <c r="C595" s="2"/>
    </row>
    <row r="596" spans="3:3" ht="13">
      <c r="C596" s="2"/>
    </row>
    <row r="597" spans="3:3" ht="13">
      <c r="C597" s="2"/>
    </row>
    <row r="598" spans="3:3" ht="13">
      <c r="C598" s="2"/>
    </row>
    <row r="599" spans="3:3" ht="13">
      <c r="C599" s="2"/>
    </row>
    <row r="600" spans="3:3" ht="13">
      <c r="C600" s="2"/>
    </row>
    <row r="601" spans="3:3" ht="13">
      <c r="C601" s="2"/>
    </row>
    <row r="602" spans="3:3" ht="13">
      <c r="C602" s="2"/>
    </row>
    <row r="603" spans="3:3" ht="13">
      <c r="C603" s="2"/>
    </row>
    <row r="604" spans="3:3" ht="13">
      <c r="C604" s="2"/>
    </row>
    <row r="605" spans="3:3" ht="13">
      <c r="C605" s="2"/>
    </row>
    <row r="606" spans="3:3" ht="13">
      <c r="C606" s="2"/>
    </row>
    <row r="607" spans="3:3" ht="13">
      <c r="C607" s="2"/>
    </row>
    <row r="608" spans="3:3" ht="13">
      <c r="C608" s="2"/>
    </row>
    <row r="609" spans="3:3" ht="13">
      <c r="C609" s="2"/>
    </row>
    <row r="610" spans="3:3" ht="13">
      <c r="C610" s="2"/>
    </row>
    <row r="611" spans="3:3" ht="13">
      <c r="C611" s="2"/>
    </row>
    <row r="612" spans="3:3" ht="13">
      <c r="C612" s="2"/>
    </row>
    <row r="613" spans="3:3" ht="13">
      <c r="C613" s="2"/>
    </row>
    <row r="614" spans="3:3" ht="13">
      <c r="C614" s="2"/>
    </row>
    <row r="615" spans="3:3" ht="13">
      <c r="C615" s="2"/>
    </row>
    <row r="616" spans="3:3" ht="13">
      <c r="C616" s="2"/>
    </row>
    <row r="617" spans="3:3" ht="13">
      <c r="C617" s="2"/>
    </row>
    <row r="618" spans="3:3" ht="13">
      <c r="C618" s="2"/>
    </row>
    <row r="619" spans="3:3" ht="13">
      <c r="C619" s="2"/>
    </row>
    <row r="620" spans="3:3" ht="13">
      <c r="C620" s="2"/>
    </row>
    <row r="621" spans="3:3" ht="13">
      <c r="C621" s="2"/>
    </row>
    <row r="622" spans="3:3" ht="13">
      <c r="C622" s="2"/>
    </row>
    <row r="623" spans="3:3" ht="13">
      <c r="C623" s="2"/>
    </row>
    <row r="624" spans="3:3" ht="13">
      <c r="C624" s="2"/>
    </row>
    <row r="625" spans="3:3" ht="13">
      <c r="C625" s="2"/>
    </row>
    <row r="626" spans="3:3" ht="13">
      <c r="C626" s="2"/>
    </row>
    <row r="627" spans="3:3" ht="13">
      <c r="C627" s="2"/>
    </row>
    <row r="628" spans="3:3" ht="13">
      <c r="C628" s="2"/>
    </row>
    <row r="629" spans="3:3" ht="13">
      <c r="C629" s="2"/>
    </row>
    <row r="630" spans="3:3" ht="13">
      <c r="C630" s="2"/>
    </row>
    <row r="631" spans="3:3" ht="13">
      <c r="C631" s="2"/>
    </row>
    <row r="632" spans="3:3" ht="13">
      <c r="C632" s="2"/>
    </row>
    <row r="633" spans="3:3" ht="13">
      <c r="C633" s="2"/>
    </row>
    <row r="634" spans="3:3" ht="13">
      <c r="C634" s="2"/>
    </row>
    <row r="635" spans="3:3" ht="13">
      <c r="C635" s="2"/>
    </row>
    <row r="636" spans="3:3" ht="13">
      <c r="C636" s="2"/>
    </row>
    <row r="637" spans="3:3" ht="13">
      <c r="C637" s="2"/>
    </row>
    <row r="638" spans="3:3" ht="13">
      <c r="C638" s="2"/>
    </row>
    <row r="639" spans="3:3" ht="13">
      <c r="C639" s="2"/>
    </row>
    <row r="640" spans="3:3" ht="13">
      <c r="C640" s="2"/>
    </row>
    <row r="641" spans="3:3" ht="13">
      <c r="C641" s="2"/>
    </row>
    <row r="642" spans="3:3" ht="13">
      <c r="C642" s="2"/>
    </row>
    <row r="643" spans="3:3" ht="13">
      <c r="C643" s="2"/>
    </row>
    <row r="644" spans="3:3" ht="13">
      <c r="C644" s="2"/>
    </row>
    <row r="645" spans="3:3" ht="13">
      <c r="C645" s="2"/>
    </row>
    <row r="646" spans="3:3" ht="13">
      <c r="C646" s="2"/>
    </row>
    <row r="647" spans="3:3" ht="13">
      <c r="C647" s="2"/>
    </row>
    <row r="648" spans="3:3" ht="13">
      <c r="C648" s="2"/>
    </row>
    <row r="649" spans="3:3" ht="13">
      <c r="C649" s="2"/>
    </row>
    <row r="650" spans="3:3" ht="13">
      <c r="C650" s="2"/>
    </row>
    <row r="651" spans="3:3" ht="13">
      <c r="C651" s="2"/>
    </row>
    <row r="652" spans="3:3" ht="13">
      <c r="C652" s="2"/>
    </row>
    <row r="653" spans="3:3" ht="13">
      <c r="C653" s="2"/>
    </row>
    <row r="654" spans="3:3" ht="13">
      <c r="C654" s="2"/>
    </row>
    <row r="655" spans="3:3" ht="13">
      <c r="C655" s="2"/>
    </row>
    <row r="656" spans="3:3" ht="13">
      <c r="C656" s="2"/>
    </row>
    <row r="657" spans="3:3" ht="13">
      <c r="C657" s="2"/>
    </row>
    <row r="658" spans="3:3" ht="13">
      <c r="C658" s="2"/>
    </row>
    <row r="659" spans="3:3" ht="13">
      <c r="C659" s="2"/>
    </row>
    <row r="660" spans="3:3" ht="13">
      <c r="C660" s="2"/>
    </row>
    <row r="661" spans="3:3" ht="13">
      <c r="C661" s="2"/>
    </row>
    <row r="662" spans="3:3" ht="13">
      <c r="C662" s="2"/>
    </row>
    <row r="663" spans="3:3" ht="13">
      <c r="C663" s="2"/>
    </row>
    <row r="664" spans="3:3" ht="13">
      <c r="C664" s="2"/>
    </row>
    <row r="665" spans="3:3" ht="13">
      <c r="C665" s="2"/>
    </row>
    <row r="666" spans="3:3" ht="13">
      <c r="C666" s="2"/>
    </row>
    <row r="667" spans="3:3" ht="13">
      <c r="C667" s="2"/>
    </row>
    <row r="668" spans="3:3" ht="13">
      <c r="C668" s="2"/>
    </row>
    <row r="669" spans="3:3" ht="13">
      <c r="C669" s="2"/>
    </row>
    <row r="670" spans="3:3" ht="13">
      <c r="C670" s="2"/>
    </row>
    <row r="671" spans="3:3" ht="13">
      <c r="C671" s="2"/>
    </row>
    <row r="672" spans="3:3" ht="13">
      <c r="C672" s="2"/>
    </row>
    <row r="673" spans="3:3" ht="13">
      <c r="C673" s="2"/>
    </row>
    <row r="674" spans="3:3" ht="13">
      <c r="C674" s="2"/>
    </row>
    <row r="675" spans="3:3" ht="13">
      <c r="C675" s="2"/>
    </row>
    <row r="676" spans="3:3" ht="13">
      <c r="C676" s="2"/>
    </row>
    <row r="677" spans="3:3" ht="13">
      <c r="C677" s="2"/>
    </row>
    <row r="678" spans="3:3" ht="13">
      <c r="C678" s="2"/>
    </row>
    <row r="679" spans="3:3" ht="13">
      <c r="C679" s="2"/>
    </row>
    <row r="680" spans="3:3" ht="13">
      <c r="C680" s="2"/>
    </row>
    <row r="681" spans="3:3" ht="13">
      <c r="C681" s="2"/>
    </row>
    <row r="682" spans="3:3" ht="13">
      <c r="C682" s="2"/>
    </row>
    <row r="683" spans="3:3" ht="13">
      <c r="C683" s="2"/>
    </row>
    <row r="684" spans="3:3" ht="13">
      <c r="C684" s="2"/>
    </row>
    <row r="685" spans="3:3" ht="13">
      <c r="C685" s="2"/>
    </row>
    <row r="686" spans="3:3" ht="13">
      <c r="C686" s="2"/>
    </row>
    <row r="687" spans="3:3" ht="13">
      <c r="C687" s="2"/>
    </row>
    <row r="688" spans="3:3" ht="13">
      <c r="C688" s="2"/>
    </row>
    <row r="689" spans="3:3" ht="13">
      <c r="C689" s="2"/>
    </row>
    <row r="690" spans="3:3" ht="13">
      <c r="C690" s="2"/>
    </row>
    <row r="691" spans="3:3" ht="13">
      <c r="C691" s="2"/>
    </row>
    <row r="692" spans="3:3" ht="13">
      <c r="C692" s="2"/>
    </row>
    <row r="693" spans="3:3" ht="13">
      <c r="C693" s="2"/>
    </row>
    <row r="694" spans="3:3" ht="13">
      <c r="C694" s="2"/>
    </row>
    <row r="695" spans="3:3" ht="13">
      <c r="C695" s="2"/>
    </row>
    <row r="696" spans="3:3" ht="13">
      <c r="C696" s="2"/>
    </row>
    <row r="697" spans="3:3" ht="13">
      <c r="C697" s="2"/>
    </row>
    <row r="698" spans="3:3" ht="13">
      <c r="C698" s="2"/>
    </row>
    <row r="699" spans="3:3" ht="13">
      <c r="C699" s="2"/>
    </row>
    <row r="700" spans="3:3" ht="13">
      <c r="C700" s="2"/>
    </row>
    <row r="701" spans="3:3" ht="13">
      <c r="C701" s="2"/>
    </row>
    <row r="702" spans="3:3" ht="13">
      <c r="C702" s="2"/>
    </row>
    <row r="703" spans="3:3" ht="13">
      <c r="C703" s="2"/>
    </row>
    <row r="704" spans="3:3" ht="13">
      <c r="C704" s="2"/>
    </row>
    <row r="705" spans="3:3" ht="13">
      <c r="C705" s="2"/>
    </row>
    <row r="706" spans="3:3" ht="13">
      <c r="C706" s="2"/>
    </row>
    <row r="707" spans="3:3" ht="13">
      <c r="C707" s="2"/>
    </row>
    <row r="708" spans="3:3" ht="13">
      <c r="C708" s="2"/>
    </row>
    <row r="709" spans="3:3" ht="13">
      <c r="C709" s="2"/>
    </row>
    <row r="710" spans="3:3" ht="13">
      <c r="C710" s="2"/>
    </row>
    <row r="711" spans="3:3" ht="13">
      <c r="C711" s="2"/>
    </row>
    <row r="712" spans="3:3" ht="13">
      <c r="C712" s="2"/>
    </row>
    <row r="713" spans="3:3" ht="13">
      <c r="C713" s="2"/>
    </row>
    <row r="714" spans="3:3" ht="13">
      <c r="C714" s="2"/>
    </row>
    <row r="715" spans="3:3" ht="13">
      <c r="C715" s="2"/>
    </row>
    <row r="716" spans="3:3" ht="13">
      <c r="C716" s="2"/>
    </row>
    <row r="717" spans="3:3" ht="13">
      <c r="C717" s="2"/>
    </row>
    <row r="718" spans="3:3" ht="13">
      <c r="C718" s="2"/>
    </row>
    <row r="719" spans="3:3" ht="13">
      <c r="C719" s="2"/>
    </row>
    <row r="720" spans="3:3" ht="13">
      <c r="C720" s="2"/>
    </row>
    <row r="721" spans="3:3" ht="13">
      <c r="C721" s="2"/>
    </row>
    <row r="722" spans="3:3" ht="13">
      <c r="C722" s="2"/>
    </row>
    <row r="723" spans="3:3" ht="13">
      <c r="C723" s="2"/>
    </row>
    <row r="724" spans="3:3" ht="13">
      <c r="C724" s="2"/>
    </row>
    <row r="725" spans="3:3" ht="13">
      <c r="C725" s="2"/>
    </row>
    <row r="726" spans="3:3" ht="13">
      <c r="C726" s="2"/>
    </row>
    <row r="727" spans="3:3" ht="13">
      <c r="C727" s="2"/>
    </row>
    <row r="728" spans="3:3" ht="13">
      <c r="C728" s="2"/>
    </row>
    <row r="729" spans="3:3" ht="13">
      <c r="C729" s="2"/>
    </row>
    <row r="730" spans="3:3" ht="13">
      <c r="C730" s="2"/>
    </row>
    <row r="731" spans="3:3" ht="13">
      <c r="C731" s="2"/>
    </row>
    <row r="732" spans="3:3" ht="13">
      <c r="C732" s="2"/>
    </row>
    <row r="733" spans="3:3" ht="13">
      <c r="C733" s="2"/>
    </row>
    <row r="734" spans="3:3" ht="13">
      <c r="C734" s="2"/>
    </row>
    <row r="735" spans="3:3" ht="13">
      <c r="C735" s="2"/>
    </row>
    <row r="736" spans="3:3" ht="13">
      <c r="C736" s="2"/>
    </row>
    <row r="737" spans="3:3" ht="13">
      <c r="C737" s="2"/>
    </row>
    <row r="738" spans="3:3" ht="13">
      <c r="C738" s="2"/>
    </row>
    <row r="739" spans="3:3" ht="13">
      <c r="C739" s="2"/>
    </row>
    <row r="740" spans="3:3" ht="13">
      <c r="C740" s="2"/>
    </row>
    <row r="741" spans="3:3" ht="13">
      <c r="C741" s="2"/>
    </row>
    <row r="742" spans="3:3" ht="13">
      <c r="C742" s="2"/>
    </row>
    <row r="743" spans="3:3" ht="13">
      <c r="C743" s="2"/>
    </row>
    <row r="744" spans="3:3" ht="13">
      <c r="C744" s="2"/>
    </row>
    <row r="745" spans="3:3" ht="13">
      <c r="C745" s="2"/>
    </row>
    <row r="746" spans="3:3" ht="13">
      <c r="C746" s="2"/>
    </row>
    <row r="747" spans="3:3" ht="13">
      <c r="C747" s="2"/>
    </row>
    <row r="748" spans="3:3" ht="13">
      <c r="C748" s="2"/>
    </row>
    <row r="749" spans="3:3" ht="13">
      <c r="C749" s="2"/>
    </row>
    <row r="750" spans="3:3" ht="13">
      <c r="C750" s="2"/>
    </row>
    <row r="751" spans="3:3" ht="13">
      <c r="C751" s="2"/>
    </row>
    <row r="752" spans="3:3" ht="13">
      <c r="C752" s="2"/>
    </row>
    <row r="753" spans="3:3" ht="13">
      <c r="C753" s="2"/>
    </row>
    <row r="754" spans="3:3" ht="13">
      <c r="C754" s="2"/>
    </row>
    <row r="755" spans="3:3" ht="13">
      <c r="C755" s="2"/>
    </row>
    <row r="756" spans="3:3" ht="13">
      <c r="C756" s="2"/>
    </row>
    <row r="757" spans="3:3" ht="13">
      <c r="C757" s="2"/>
    </row>
    <row r="758" spans="3:3" ht="13">
      <c r="C758" s="2"/>
    </row>
    <row r="759" spans="3:3" ht="13">
      <c r="C759" s="2"/>
    </row>
    <row r="760" spans="3:3" ht="13">
      <c r="C760" s="2"/>
    </row>
    <row r="761" spans="3:3" ht="13">
      <c r="C761" s="2"/>
    </row>
    <row r="762" spans="3:3" ht="13">
      <c r="C762" s="2"/>
    </row>
    <row r="763" spans="3:3" ht="13">
      <c r="C763" s="2"/>
    </row>
    <row r="764" spans="3:3" ht="13">
      <c r="C764" s="2"/>
    </row>
    <row r="765" spans="3:3" ht="13">
      <c r="C765" s="2"/>
    </row>
    <row r="766" spans="3:3" ht="13">
      <c r="C766" s="2"/>
    </row>
    <row r="767" spans="3:3" ht="13">
      <c r="C767" s="2"/>
    </row>
    <row r="768" spans="3:3" ht="13">
      <c r="C768" s="2"/>
    </row>
    <row r="769" spans="3:3" ht="13">
      <c r="C769" s="2"/>
    </row>
    <row r="770" spans="3:3" ht="13">
      <c r="C770" s="2"/>
    </row>
    <row r="771" spans="3:3" ht="13">
      <c r="C771" s="2"/>
    </row>
    <row r="772" spans="3:3" ht="13">
      <c r="C772" s="2"/>
    </row>
    <row r="773" spans="3:3" ht="13">
      <c r="C773" s="2"/>
    </row>
    <row r="774" spans="3:3" ht="13">
      <c r="C774" s="2"/>
    </row>
    <row r="775" spans="3:3" ht="13">
      <c r="C775" s="2"/>
    </row>
    <row r="776" spans="3:3" ht="13">
      <c r="C776" s="2"/>
    </row>
    <row r="777" spans="3:3" ht="13">
      <c r="C777" s="2"/>
    </row>
    <row r="778" spans="3:3" ht="13">
      <c r="C778" s="2"/>
    </row>
    <row r="779" spans="3:3" ht="13">
      <c r="C779" s="2"/>
    </row>
    <row r="780" spans="3:3" ht="13">
      <c r="C780" s="2"/>
    </row>
    <row r="781" spans="3:3" ht="13">
      <c r="C781" s="2"/>
    </row>
    <row r="782" spans="3:3" ht="13">
      <c r="C782" s="2"/>
    </row>
    <row r="783" spans="3:3" ht="13">
      <c r="C783" s="2"/>
    </row>
    <row r="784" spans="3:3" ht="13">
      <c r="C784" s="2"/>
    </row>
    <row r="785" spans="3:3" ht="13">
      <c r="C785" s="2"/>
    </row>
    <row r="786" spans="3:3" ht="13">
      <c r="C786" s="2"/>
    </row>
    <row r="787" spans="3:3" ht="13">
      <c r="C787" s="2"/>
    </row>
    <row r="788" spans="3:3" ht="13">
      <c r="C788" s="2"/>
    </row>
    <row r="789" spans="3:3" ht="13">
      <c r="C789" s="2"/>
    </row>
    <row r="790" spans="3:3" ht="13">
      <c r="C790" s="2"/>
    </row>
    <row r="791" spans="3:3" ht="13">
      <c r="C791" s="2"/>
    </row>
    <row r="792" spans="3:3" ht="13">
      <c r="C792" s="2"/>
    </row>
    <row r="793" spans="3:3" ht="13">
      <c r="C793" s="2"/>
    </row>
    <row r="794" spans="3:3" ht="13">
      <c r="C794" s="2"/>
    </row>
    <row r="795" spans="3:3" ht="13">
      <c r="C795" s="2"/>
    </row>
    <row r="796" spans="3:3" ht="13">
      <c r="C796" s="2"/>
    </row>
    <row r="797" spans="3:3" ht="13">
      <c r="C797" s="2"/>
    </row>
    <row r="798" spans="3:3" ht="13">
      <c r="C798" s="2"/>
    </row>
    <row r="799" spans="3:3" ht="13">
      <c r="C799" s="2"/>
    </row>
    <row r="800" spans="3:3" ht="13">
      <c r="C800" s="2"/>
    </row>
    <row r="801" spans="3:3" ht="13">
      <c r="C801" s="2"/>
    </row>
    <row r="802" spans="3:3" ht="13">
      <c r="C802" s="2"/>
    </row>
    <row r="803" spans="3:3" ht="13">
      <c r="C803" s="2"/>
    </row>
    <row r="804" spans="3:3" ht="13">
      <c r="C804" s="2"/>
    </row>
    <row r="805" spans="3:3" ht="13">
      <c r="C805" s="2"/>
    </row>
    <row r="806" spans="3:3" ht="13">
      <c r="C806" s="2"/>
    </row>
    <row r="807" spans="3:3" ht="13">
      <c r="C807" s="2"/>
    </row>
    <row r="808" spans="3:3" ht="13">
      <c r="C808" s="2"/>
    </row>
    <row r="809" spans="3:3" ht="13">
      <c r="C809" s="2"/>
    </row>
    <row r="810" spans="3:3" ht="13">
      <c r="C810" s="2"/>
    </row>
    <row r="811" spans="3:3" ht="13">
      <c r="C811" s="2"/>
    </row>
    <row r="812" spans="3:3" ht="13">
      <c r="C812" s="2"/>
    </row>
    <row r="813" spans="3:3" ht="13">
      <c r="C813" s="2"/>
    </row>
    <row r="814" spans="3:3" ht="13">
      <c r="C814" s="2"/>
    </row>
    <row r="815" spans="3:3" ht="13">
      <c r="C815" s="2"/>
    </row>
    <row r="816" spans="3:3" ht="13">
      <c r="C816" s="2"/>
    </row>
    <row r="817" spans="3:3" ht="13">
      <c r="C817" s="2"/>
    </row>
    <row r="818" spans="3:3" ht="13">
      <c r="C818" s="2"/>
    </row>
    <row r="819" spans="3:3" ht="13">
      <c r="C819" s="2"/>
    </row>
    <row r="820" spans="3:3" ht="13">
      <c r="C820" s="2"/>
    </row>
    <row r="821" spans="3:3" ht="13">
      <c r="C821" s="2"/>
    </row>
    <row r="822" spans="3:3" ht="13">
      <c r="C822" s="2"/>
    </row>
    <row r="823" spans="3:3" ht="13">
      <c r="C823" s="2"/>
    </row>
    <row r="824" spans="3:3" ht="13">
      <c r="C824" s="2"/>
    </row>
    <row r="825" spans="3:3" ht="13">
      <c r="C825" s="2"/>
    </row>
    <row r="826" spans="3:3" ht="13">
      <c r="C826" s="2"/>
    </row>
    <row r="827" spans="3:3" ht="13">
      <c r="C827" s="2"/>
    </row>
    <row r="828" spans="3:3" ht="13">
      <c r="C828" s="2"/>
    </row>
    <row r="829" spans="3:3" ht="13">
      <c r="C829" s="2"/>
    </row>
    <row r="830" spans="3:3" ht="13">
      <c r="C830" s="2"/>
    </row>
    <row r="831" spans="3:3" ht="13">
      <c r="C831" s="2"/>
    </row>
    <row r="832" spans="3:3" ht="13">
      <c r="C832" s="2"/>
    </row>
    <row r="833" spans="3:3" ht="13">
      <c r="C833" s="2"/>
    </row>
    <row r="834" spans="3:3" ht="13">
      <c r="C834" s="2"/>
    </row>
    <row r="835" spans="3:3" ht="13">
      <c r="C835" s="2"/>
    </row>
    <row r="836" spans="3:3" ht="13">
      <c r="C836" s="2"/>
    </row>
    <row r="837" spans="3:3" ht="13">
      <c r="C837" s="2"/>
    </row>
    <row r="838" spans="3:3" ht="13">
      <c r="C838" s="2"/>
    </row>
    <row r="839" spans="3:3" ht="13">
      <c r="C839" s="2"/>
    </row>
    <row r="840" spans="3:3" ht="13">
      <c r="C840" s="2"/>
    </row>
    <row r="841" spans="3:3" ht="13">
      <c r="C841" s="2"/>
    </row>
    <row r="842" spans="3:3" ht="13">
      <c r="C842" s="2"/>
    </row>
    <row r="843" spans="3:3" ht="13">
      <c r="C843" s="2"/>
    </row>
    <row r="844" spans="3:3" ht="13">
      <c r="C844" s="2"/>
    </row>
    <row r="845" spans="3:3" ht="13">
      <c r="C845" s="2"/>
    </row>
    <row r="846" spans="3:3" ht="13">
      <c r="C846" s="2"/>
    </row>
    <row r="847" spans="3:3" ht="13">
      <c r="C847" s="2"/>
    </row>
    <row r="848" spans="3:3" ht="13">
      <c r="C848" s="2"/>
    </row>
    <row r="849" spans="3:3" ht="13">
      <c r="C849" s="2"/>
    </row>
    <row r="850" spans="3:3" ht="13">
      <c r="C850" s="2"/>
    </row>
    <row r="851" spans="3:3" ht="13">
      <c r="C851" s="2"/>
    </row>
    <row r="852" spans="3:3" ht="13">
      <c r="C852" s="2"/>
    </row>
    <row r="853" spans="3:3" ht="13">
      <c r="C853" s="2"/>
    </row>
    <row r="854" spans="3:3" ht="13">
      <c r="C854" s="2"/>
    </row>
    <row r="855" spans="3:3" ht="13">
      <c r="C855" s="2"/>
    </row>
    <row r="856" spans="3:3" ht="13">
      <c r="C856" s="2"/>
    </row>
    <row r="857" spans="3:3" ht="13">
      <c r="C857" s="2"/>
    </row>
    <row r="858" spans="3:3" ht="13">
      <c r="C858" s="2"/>
    </row>
    <row r="859" spans="3:3" ht="13">
      <c r="C859" s="2"/>
    </row>
    <row r="860" spans="3:3" ht="13">
      <c r="C860" s="2"/>
    </row>
    <row r="861" spans="3:3" ht="13">
      <c r="C861" s="2"/>
    </row>
    <row r="862" spans="3:3" ht="13">
      <c r="C862" s="2"/>
    </row>
    <row r="863" spans="3:3" ht="13">
      <c r="C863" s="2"/>
    </row>
    <row r="864" spans="3:3" ht="13">
      <c r="C864" s="2"/>
    </row>
    <row r="865" spans="3:3" ht="13">
      <c r="C865" s="2"/>
    </row>
    <row r="866" spans="3:3" ht="13">
      <c r="C866" s="2"/>
    </row>
    <row r="867" spans="3:3" ht="13">
      <c r="C867" s="2"/>
    </row>
    <row r="868" spans="3:3" ht="13">
      <c r="C868" s="2"/>
    </row>
    <row r="869" spans="3:3" ht="13">
      <c r="C869" s="2"/>
    </row>
    <row r="870" spans="3:3" ht="13">
      <c r="C870" s="2"/>
    </row>
    <row r="871" spans="3:3" ht="13">
      <c r="C871" s="2"/>
    </row>
    <row r="872" spans="3:3" ht="13">
      <c r="C872" s="2"/>
    </row>
    <row r="873" spans="3:3" ht="13">
      <c r="C873" s="2"/>
    </row>
    <row r="874" spans="3:3" ht="13">
      <c r="C874" s="2"/>
    </row>
    <row r="875" spans="3:3" ht="13">
      <c r="C875" s="2"/>
    </row>
    <row r="876" spans="3:3" ht="13">
      <c r="C876" s="2"/>
    </row>
    <row r="877" spans="3:3" ht="13">
      <c r="C877" s="2"/>
    </row>
    <row r="878" spans="3:3" ht="13">
      <c r="C878" s="2"/>
    </row>
    <row r="879" spans="3:3" ht="13">
      <c r="C879" s="2"/>
    </row>
    <row r="880" spans="3:3" ht="13">
      <c r="C880" s="2"/>
    </row>
    <row r="881" spans="3:3" ht="13">
      <c r="C881" s="2"/>
    </row>
    <row r="882" spans="3:3" ht="13">
      <c r="C882" s="2"/>
    </row>
    <row r="883" spans="3:3" ht="13">
      <c r="C883" s="2"/>
    </row>
    <row r="884" spans="3:3" ht="13">
      <c r="C884" s="2"/>
    </row>
    <row r="885" spans="3:3" ht="13">
      <c r="C885" s="2"/>
    </row>
    <row r="886" spans="3:3" ht="13">
      <c r="C886" s="2"/>
    </row>
    <row r="887" spans="3:3" ht="13">
      <c r="C887" s="2"/>
    </row>
    <row r="888" spans="3:3" ht="13">
      <c r="C888" s="2"/>
    </row>
    <row r="889" spans="3:3" ht="13">
      <c r="C889" s="2"/>
    </row>
    <row r="890" spans="3:3" ht="13">
      <c r="C890" s="2"/>
    </row>
    <row r="891" spans="3:3" ht="13">
      <c r="C891" s="2"/>
    </row>
    <row r="892" spans="3:3" ht="13">
      <c r="C892" s="2"/>
    </row>
    <row r="893" spans="3:3" ht="13">
      <c r="C893" s="2"/>
    </row>
    <row r="894" spans="3:3" ht="13">
      <c r="C894" s="2"/>
    </row>
    <row r="895" spans="3:3" ht="13">
      <c r="C895" s="2"/>
    </row>
    <row r="896" spans="3:3" ht="13">
      <c r="C896" s="2"/>
    </row>
    <row r="897" spans="3:3" ht="13">
      <c r="C897" s="2"/>
    </row>
    <row r="898" spans="3:3" ht="13">
      <c r="C898" s="2"/>
    </row>
    <row r="899" spans="3:3" ht="13">
      <c r="C899" s="2"/>
    </row>
    <row r="900" spans="3:3" ht="13">
      <c r="C900" s="2"/>
    </row>
    <row r="901" spans="3:3" ht="13">
      <c r="C901" s="2"/>
    </row>
    <row r="902" spans="3:3" ht="13">
      <c r="C902" s="2"/>
    </row>
    <row r="903" spans="3:3" ht="13">
      <c r="C903" s="2"/>
    </row>
    <row r="904" spans="3:3" ht="13">
      <c r="C904" s="2"/>
    </row>
    <row r="905" spans="3:3" ht="13">
      <c r="C905" s="2"/>
    </row>
    <row r="906" spans="3:3" ht="13">
      <c r="C906" s="2"/>
    </row>
    <row r="907" spans="3:3" ht="13">
      <c r="C907" s="2"/>
    </row>
    <row r="908" spans="3:3" ht="13">
      <c r="C908" s="2"/>
    </row>
    <row r="909" spans="3:3" ht="13">
      <c r="C909" s="2"/>
    </row>
    <row r="910" spans="3:3" ht="13">
      <c r="C910" s="2"/>
    </row>
    <row r="911" spans="3:3" ht="13">
      <c r="C911" s="2"/>
    </row>
    <row r="912" spans="3:3" ht="13">
      <c r="C912" s="2"/>
    </row>
    <row r="913" spans="3:3" ht="13">
      <c r="C913" s="2"/>
    </row>
    <row r="914" spans="3:3" ht="13">
      <c r="C914" s="2"/>
    </row>
    <row r="915" spans="3:3" ht="13">
      <c r="C915" s="2"/>
    </row>
    <row r="916" spans="3:3" ht="13">
      <c r="C916" s="2"/>
    </row>
    <row r="917" spans="3:3" ht="13">
      <c r="C917" s="2"/>
    </row>
    <row r="918" spans="3:3" ht="13">
      <c r="C918" s="2"/>
    </row>
    <row r="919" spans="3:3" ht="13">
      <c r="C919" s="2"/>
    </row>
    <row r="920" spans="3:3" ht="13">
      <c r="C920" s="2"/>
    </row>
    <row r="921" spans="3:3" ht="13">
      <c r="C921" s="2"/>
    </row>
    <row r="922" spans="3:3" ht="13">
      <c r="C922" s="2"/>
    </row>
    <row r="923" spans="3:3" ht="13">
      <c r="C923" s="2"/>
    </row>
    <row r="924" spans="3:3" ht="13">
      <c r="C924" s="2"/>
    </row>
    <row r="925" spans="3:3" ht="13">
      <c r="C925" s="2"/>
    </row>
    <row r="926" spans="3:3" ht="13">
      <c r="C926" s="2"/>
    </row>
    <row r="927" spans="3:3" ht="13">
      <c r="C927" s="2"/>
    </row>
    <row r="928" spans="3:3" ht="13">
      <c r="C928" s="2"/>
    </row>
    <row r="929" spans="3:3" ht="13">
      <c r="C929" s="2"/>
    </row>
    <row r="930" spans="3:3" ht="13">
      <c r="C930" s="2"/>
    </row>
    <row r="931" spans="3:3" ht="13">
      <c r="C931" s="2"/>
    </row>
    <row r="932" spans="3:3" ht="13">
      <c r="C932" s="2"/>
    </row>
    <row r="933" spans="3:3" ht="13">
      <c r="C933" s="2"/>
    </row>
    <row r="934" spans="3:3" ht="13">
      <c r="C934" s="2"/>
    </row>
    <row r="935" spans="3:3" ht="13">
      <c r="C935" s="2"/>
    </row>
    <row r="936" spans="3:3" ht="13">
      <c r="C936" s="2"/>
    </row>
    <row r="937" spans="3:3" ht="13">
      <c r="C937" s="2"/>
    </row>
    <row r="938" spans="3:3" ht="13">
      <c r="C938" s="2"/>
    </row>
    <row r="939" spans="3:3" ht="13">
      <c r="C939" s="2"/>
    </row>
    <row r="940" spans="3:3" ht="13">
      <c r="C940" s="2"/>
    </row>
    <row r="941" spans="3:3" ht="13">
      <c r="C941" s="2"/>
    </row>
    <row r="942" spans="3:3" ht="13">
      <c r="C942" s="2"/>
    </row>
    <row r="943" spans="3:3" ht="13">
      <c r="C943" s="2"/>
    </row>
    <row r="944" spans="3:3" ht="13">
      <c r="C944" s="2"/>
    </row>
    <row r="945" spans="3:3" ht="13">
      <c r="C945" s="2"/>
    </row>
    <row r="946" spans="3:3" ht="13">
      <c r="C946" s="2"/>
    </row>
    <row r="947" spans="3:3" ht="13">
      <c r="C947" s="2"/>
    </row>
    <row r="948" spans="3:3" ht="13">
      <c r="C948" s="2"/>
    </row>
    <row r="949" spans="3:3" ht="13">
      <c r="C949" s="2"/>
    </row>
    <row r="950" spans="3:3" ht="13">
      <c r="C950" s="2"/>
    </row>
    <row r="951" spans="3:3" ht="13">
      <c r="C951" s="2"/>
    </row>
    <row r="952" spans="3:3" ht="13">
      <c r="C952" s="2"/>
    </row>
    <row r="953" spans="3:3" ht="13">
      <c r="C953" s="2"/>
    </row>
    <row r="954" spans="3:3" ht="13">
      <c r="C954" s="2"/>
    </row>
    <row r="955" spans="3:3" ht="13">
      <c r="C955" s="2"/>
    </row>
    <row r="956" spans="3:3" ht="13">
      <c r="C956" s="2"/>
    </row>
    <row r="957" spans="3:3" ht="13">
      <c r="C957" s="2"/>
    </row>
    <row r="958" spans="3:3" ht="13">
      <c r="C958" s="2"/>
    </row>
    <row r="959" spans="3:3" ht="13">
      <c r="C959" s="2"/>
    </row>
    <row r="960" spans="3:3" ht="13">
      <c r="C960" s="2"/>
    </row>
    <row r="961" spans="3:3" ht="13">
      <c r="C961" s="2"/>
    </row>
    <row r="962" spans="3:3" ht="13">
      <c r="C962" s="2"/>
    </row>
    <row r="963" spans="3:3" ht="13">
      <c r="C963" s="2"/>
    </row>
    <row r="964" spans="3:3" ht="13">
      <c r="C964" s="2"/>
    </row>
    <row r="965" spans="3:3" ht="13">
      <c r="C965" s="2"/>
    </row>
    <row r="966" spans="3:3" ht="13">
      <c r="C966" s="2"/>
    </row>
    <row r="967" spans="3:3" ht="13">
      <c r="C967" s="2"/>
    </row>
    <row r="968" spans="3:3" ht="13">
      <c r="C968" s="2"/>
    </row>
    <row r="969" spans="3:3" ht="13">
      <c r="C969" s="2"/>
    </row>
    <row r="970" spans="3:3" ht="13">
      <c r="C970" s="2"/>
    </row>
    <row r="971" spans="3:3" ht="13">
      <c r="C971" s="2"/>
    </row>
    <row r="972" spans="3:3" ht="13">
      <c r="C972" s="2"/>
    </row>
    <row r="973" spans="3:3" ht="13">
      <c r="C973" s="2"/>
    </row>
    <row r="974" spans="3:3" ht="13">
      <c r="C974" s="2"/>
    </row>
    <row r="975" spans="3:3" ht="13">
      <c r="C975" s="2"/>
    </row>
    <row r="976" spans="3:3" ht="13">
      <c r="C976" s="2"/>
    </row>
    <row r="977" spans="3:3" ht="13">
      <c r="C977" s="2"/>
    </row>
    <row r="978" spans="3:3" ht="13">
      <c r="C978" s="2"/>
    </row>
    <row r="979" spans="3:3" ht="13">
      <c r="C979" s="2"/>
    </row>
    <row r="980" spans="3:3" ht="13">
      <c r="C980" s="2"/>
    </row>
    <row r="981" spans="3:3" ht="13">
      <c r="C981" s="2"/>
    </row>
    <row r="982" spans="3:3" ht="13">
      <c r="C982" s="2"/>
    </row>
    <row r="983" spans="3:3" ht="13">
      <c r="C983" s="2"/>
    </row>
    <row r="984" spans="3:3" ht="13">
      <c r="C984" s="2"/>
    </row>
    <row r="985" spans="3:3" ht="13">
      <c r="C985" s="2"/>
    </row>
    <row r="986" spans="3:3" ht="13">
      <c r="C986" s="2"/>
    </row>
    <row r="987" spans="3:3" ht="13">
      <c r="C987" s="2"/>
    </row>
    <row r="988" spans="3:3" ht="13">
      <c r="C988" s="2"/>
    </row>
    <row r="989" spans="3:3" ht="13">
      <c r="C989" s="2"/>
    </row>
    <row r="990" spans="3:3" ht="13">
      <c r="C990" s="2"/>
    </row>
    <row r="991" spans="3:3" ht="13">
      <c r="C991" s="2"/>
    </row>
    <row r="992" spans="3:3" ht="13">
      <c r="C992" s="2"/>
    </row>
    <row r="993" spans="3:3" ht="13">
      <c r="C993" s="2"/>
    </row>
    <row r="994" spans="3:3" ht="13">
      <c r="C994" s="2"/>
    </row>
    <row r="995" spans="3:3" ht="13">
      <c r="C995" s="2"/>
    </row>
    <row r="996" spans="3:3" ht="13">
      <c r="C996" s="2"/>
    </row>
    <row r="997" spans="3:3" ht="13">
      <c r="C997" s="2"/>
    </row>
    <row r="998" spans="3:3" ht="13">
      <c r="C998" s="2"/>
    </row>
    <row r="999" spans="3:3" ht="13">
      <c r="C999" s="2"/>
    </row>
    <row r="1000" spans="3:3" ht="13">
      <c r="C1000" s="2"/>
    </row>
  </sheetData>
  <mergeCells count="1">
    <mergeCell ref="A1:B1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B37"/>
  <sheetViews>
    <sheetView workbookViewId="0"/>
  </sheetViews>
  <sheetFormatPr baseColWidth="10" defaultColWidth="14.5" defaultRowHeight="15.75" customHeight="1"/>
  <cols>
    <col min="1" max="1" width="51.83203125" customWidth="1"/>
  </cols>
  <sheetData>
    <row r="1" spans="1:2" ht="15.75" customHeight="1">
      <c r="A1" s="1" t="s">
        <v>0</v>
      </c>
      <c r="B1" s="2"/>
    </row>
    <row r="2" spans="1:2" ht="15.75" customHeight="1">
      <c r="A2" s="4" t="s">
        <v>2</v>
      </c>
      <c r="B2" s="2"/>
    </row>
    <row r="3" spans="1:2" ht="15.75" customHeight="1">
      <c r="A3" s="4" t="s">
        <v>3</v>
      </c>
      <c r="B3" s="2"/>
    </row>
    <row r="4" spans="1:2" ht="15.75" customHeight="1">
      <c r="A4" s="4" t="s">
        <v>4</v>
      </c>
      <c r="B4" s="2"/>
    </row>
    <row r="5" spans="1:2">
      <c r="A5" s="5"/>
      <c r="B5" s="2"/>
    </row>
    <row r="6" spans="1:2">
      <c r="A6" s="5" t="s">
        <v>8</v>
      </c>
      <c r="B6" s="2"/>
    </row>
    <row r="7" spans="1:2">
      <c r="A7" s="6" t="s">
        <v>9</v>
      </c>
      <c r="B7" s="2"/>
    </row>
    <row r="8" spans="1:2">
      <c r="A8" s="8" t="s">
        <v>11</v>
      </c>
      <c r="B8" s="13" t="s">
        <v>13</v>
      </c>
    </row>
    <row r="9" spans="1:2">
      <c r="A9" s="17" t="str">
        <f>HYPERLINK("http://www.orchid.url.tw/myflowers/others/aeranthesgrandiflora1.jpg","Aeranthes grandiflora x sib")</f>
        <v>Aeranthes grandiflora x sib</v>
      </c>
      <c r="B9" s="20">
        <v>95</v>
      </c>
    </row>
    <row r="10" spans="1:2">
      <c r="A10" s="21" t="str">
        <f>HYPERLINK("https://photos.app.goo.gl/fccwhxtxQRZ29HHw5","Aerides flabellata x sib")</f>
        <v>Aerides flabellata x sib</v>
      </c>
      <c r="B10" s="19">
        <v>65</v>
      </c>
    </row>
    <row r="11" spans="1:2">
      <c r="A11" s="21" t="str">
        <f>HYPERLINK("https://photos.app.goo.gl/yrFhjNciBpR6LfCx8","Ascocentrum curvifolium x sib")</f>
        <v>Ascocentrum curvifolium x sib</v>
      </c>
      <c r="B11" s="19">
        <v>65</v>
      </c>
    </row>
    <row r="12" spans="1:2">
      <c r="A12" s="21" t="str">
        <f>HYPERLINK("https://photos.app.goo.gl/2VGasNed6AaadUap6","Bifrenaria aureofulva x self")</f>
        <v>Bifrenaria aureofulva x self</v>
      </c>
      <c r="B12" s="19">
        <v>65</v>
      </c>
    </row>
    <row r="13" spans="1:2">
      <c r="A13" s="21" t="str">
        <f>HYPERLINK("https://photos.app.goo.gl/u7ykn5iX5tBdmtC46","Bulbophyllum dearei x sib")</f>
        <v>Bulbophyllum dearei x sib</v>
      </c>
      <c r="B13" s="19">
        <v>65</v>
      </c>
    </row>
    <row r="14" spans="1:2">
      <c r="A14" s="21" t="str">
        <f>HYPERLINK("https://tenshinorchids.com/wp-content/uploads/2018/11/nobilior-luar-do-sertao-x-wisteria.jpg","Cattleya nobilior f. coerulea 'Luar do Sertao' x 'Wisteria'")</f>
        <v>Cattleya nobilior f. coerulea 'Luar do Sertao' x 'Wisteria'</v>
      </c>
      <c r="B14" s="19">
        <v>100</v>
      </c>
    </row>
    <row r="15" spans="1:2">
      <c r="A15" s="21" t="str">
        <f>HYPERLINK("https://photos.app.goo.gl/BHHdyPt4s13J4b9i7","Cattleya violacea 'Muse' FCC/AOS with triangular splash x self")</f>
        <v>Cattleya violacea 'Muse' FCC/AOS with triangular splash x self</v>
      </c>
      <c r="B15" s="19">
        <v>95</v>
      </c>
    </row>
    <row r="16" spans="1:2">
      <c r="A16" s="21" t="str">
        <f>HYPERLINK("http://www.orchid.url.tw/myflowers/others/chysislimminghei3.jpg","Chysis limminghei x sib")</f>
        <v>Chysis limminghei x sib</v>
      </c>
      <c r="B16" s="19">
        <v>65</v>
      </c>
    </row>
    <row r="17" spans="1:2">
      <c r="A17" s="16" t="str">
        <f>HYPERLINK("https://tenshinorchids.com/wp-content/uploads/2018/11/tsubaki-hime-x-tenpou.jpg","Den. moniliforme 'Tsubaki Hime 椿姫' x 'Tenpou 天寶'")</f>
        <v>Den. moniliforme 'Tsubaki Hime 椿姫' x 'Tenpou 天寶'</v>
      </c>
      <c r="B17" s="19">
        <v>75</v>
      </c>
    </row>
    <row r="18" spans="1:2">
      <c r="A18" s="21" t="str">
        <f>HYPERLINK("https://photos.app.goo.gl/u2UfqEqLBwV4Kx218","Dendrobium atroviolaceum x sib")</f>
        <v>Dendrobium atroviolaceum x sib</v>
      </c>
      <c r="B18" s="19">
        <v>65</v>
      </c>
    </row>
    <row r="19" spans="1:2">
      <c r="A19" s="21" t="str">
        <f>HYPERLINK("http://www.orchid.url.tw/myflowers/dendrobium/hancockii3.jpg","Dendrobium hancockii x sib")</f>
        <v>Dendrobium hancockii x sib</v>
      </c>
      <c r="B19" s="19">
        <v>65</v>
      </c>
    </row>
    <row r="20" spans="1:2">
      <c r="A20" s="21" t="str">
        <f>HYPERLINK("https://photos.app.goo.gl/hk2bJnEE7WBh49rM6","Dendrobium parishii f. alba x sib")</f>
        <v>Dendrobium parishii f. alba x sib</v>
      </c>
      <c r="B20" s="19">
        <v>65</v>
      </c>
    </row>
    <row r="21" spans="1:2">
      <c r="A21" s="21" t="str">
        <f>HYPERLINK("https://photos.app.goo.gl/wxXJTLJJmoRddwjz6","Dendrobium parishii red x sib")</f>
        <v>Dendrobium parishii red x sib</v>
      </c>
      <c r="B21" s="19">
        <v>65</v>
      </c>
    </row>
    <row r="22" spans="1:2">
      <c r="A22" s="21" t="str">
        <f>HYPERLINK("https://photos.app.goo.gl/C3jE3WrjRj7vBJBL6","Dendrobium tortile x self")</f>
        <v>Dendrobium tortile x self</v>
      </c>
      <c r="B22" s="19">
        <v>65</v>
      </c>
    </row>
    <row r="23" spans="1:2">
      <c r="A23" s="21" t="str">
        <f>HYPERLINK("https://photos.app.goo.gl/KyUQ85NZ9Ubn5J5BA","Dendrobium trigonopus x sib")</f>
        <v>Dendrobium trigonopus x sib</v>
      </c>
      <c r="B23" s="19">
        <v>65</v>
      </c>
    </row>
    <row r="24" spans="1:2">
      <c r="A24" s="21" t="str">
        <f>HYPERLINK("http://www.orchid.url.tw/myflowers/dendrobium/trilamellatum.jpg","Dendrobium trilamellatum x self")</f>
        <v>Dendrobium trilamellatum x self</v>
      </c>
      <c r="B24" s="19">
        <v>65</v>
      </c>
    </row>
    <row r="25" spans="1:2">
      <c r="A25" s="21" t="str">
        <f>HYPERLINK("https://photos.app.goo.gl/mShdAksrCf4NHoK59","Dendrobium venustum x sib")</f>
        <v>Dendrobium venustum x sib</v>
      </c>
      <c r="B25" s="19">
        <v>65</v>
      </c>
    </row>
    <row r="26" spans="1:2">
      <c r="A26" s="21" t="str">
        <f>HYPERLINK("https://photos.app.goo.gl/enMySPyBhdJzwhyW8","Galeandra baueri x sib")</f>
        <v>Galeandra baueri x sib</v>
      </c>
      <c r="B26" s="19">
        <v>65</v>
      </c>
    </row>
    <row r="27" spans="1:2">
      <c r="A27" s="21" t="str">
        <f>HYPERLINK("https://tenshinorchids.com/wp-content/uploads/2018/11/stapeliiflorum-w-java.jpg","Grammatophyllum stapeliiflorum West Java")</f>
        <v>Grammatophyllum stapeliiflorum West Java</v>
      </c>
      <c r="B27" s="24">
        <v>75</v>
      </c>
    </row>
    <row r="28" spans="1:2">
      <c r="A28" s="21" t="str">
        <f>HYPERLINK("https://photos.app.goo.gl/YwQT9WEYMbukwfz2A","Haraella retrocalla")</f>
        <v>Haraella retrocalla</v>
      </c>
      <c r="B28" s="19">
        <v>60</v>
      </c>
    </row>
    <row r="29" spans="1:2">
      <c r="A29" s="21" t="str">
        <f>HYPERLINK("https://photos.app.goo.gl/136Qfo1oYQKrFt9p9","Holcostylis M S Sunlight (Holc. flavescens × Rhy. gigantea) (MC)")</f>
        <v>Holcostylis M S Sunlight (Holc. flavescens × Rhy. gigantea) (MC)</v>
      </c>
      <c r="B29" s="19">
        <v>65</v>
      </c>
    </row>
    <row r="30" spans="1:2">
      <c r="A30" s="21" t="str">
        <f>HYPERLINK("https://photos.app.goo.gl/khez8yPQ1McbUzRAA","Laelia dayana / C. bicalhoi x sib")</f>
        <v>Laelia dayana / C. bicalhoi x sib</v>
      </c>
      <c r="B30" s="19">
        <v>65</v>
      </c>
    </row>
    <row r="31" spans="1:2">
      <c r="A31" s="21" t="str">
        <f>HYPERLINK("http://www.orchid.url.tw/myflowers/others/leptotesunicolor1.jpg","Leptotes unicolor x sib")</f>
        <v>Leptotes unicolor x sib</v>
      </c>
      <c r="B31" s="19">
        <v>65</v>
      </c>
    </row>
    <row r="32" spans="1:2">
      <c r="A32" s="21" t="str">
        <f>HYPERLINK("https://tenshinorchids.com/wp-content/uploads/2018/11/laycockii.jpg","Paraphalaenopsis laycockii x sib")</f>
        <v>Paraphalaenopsis laycockii x sib</v>
      </c>
      <c r="B32" s="19">
        <v>100</v>
      </c>
    </row>
    <row r="33" spans="1:2">
      <c r="A33" s="21" t="str">
        <f>HYPERLINK("https://tenshinorchids.com/wp-content/uploads/2018/11/phal-pleihary.jpg","Phalaenopsis pleihary x sib")</f>
        <v>Phalaenopsis pleihary x sib</v>
      </c>
      <c r="B33" s="22">
        <v>95</v>
      </c>
    </row>
    <row r="34" spans="1:2">
      <c r="A34" s="21" t="str">
        <f>HYPERLINK("https://photos.app.goo.gl/SaoAoGqtqbHs8FWs7","Phalaenopsis stuartiana var. puncatatissima 'Sogo' x sib")</f>
        <v>Phalaenopsis stuartiana var. puncatatissima 'Sogo' x sib</v>
      </c>
      <c r="B34" s="19">
        <v>80</v>
      </c>
    </row>
    <row r="35" spans="1:2">
      <c r="A35" s="21" t="str">
        <f>HYPERLINK("http://www.orchid.url.tw/myflowers/others/schomburgkiaalbopurpurea.jpg","Schumburgkia albopurpurea x sib")</f>
        <v>Schumburgkia albopurpurea x sib</v>
      </c>
      <c r="B35" s="19">
        <v>65</v>
      </c>
    </row>
    <row r="36" spans="1:2">
      <c r="A36" s="21" t="str">
        <f>HYPERLINK("https://photos.app.goo.gl/BKvZev9x6VkabX6Y8","Vanda lamellata var. remediosae x sib")</f>
        <v>Vanda lamellata var. remediosae x sib</v>
      </c>
      <c r="B36" s="19">
        <v>65</v>
      </c>
    </row>
    <row r="37" spans="1:2">
      <c r="A37" s="21" t="str">
        <f>HYPERLINK("https://photos.app.goo.gl/k4UURzWjRhFZJnSh9","Vandaenopsis Jiaho's Orange (MC)")</f>
        <v>Vandaenopsis Jiaho's Orange (MC)</v>
      </c>
      <c r="B37" s="19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 Retail</vt:lpstr>
      <vt:lpstr>Chinese Cymbidiums Retail</vt:lpstr>
      <vt:lpstr>Flasks Retail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Wei-Yi Chen</cp:lastModifiedBy>
  <dcterms:created xsi:type="dcterms:W3CDTF">2018-12-04T04:22:55Z</dcterms:created>
  <dcterms:modified xsi:type="dcterms:W3CDTF">2018-12-04T04:22:55Z</dcterms:modified>
</cp:coreProperties>
</file>